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threadedComments/threadedComment1.xml" ContentType="application/vnd.ms-excel.threadedcomments+xml"/>
  <Override PartName="/xl/comments5.xml" ContentType="application/vnd.openxmlformats-officedocument.spreadsheetml.comments+xml"/>
  <Override PartName="/xl/comments6.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xl/webextensions/webextension2.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codeName="Sellest_töövihikust" defaultThemeVersion="166925"/>
  <mc:AlternateContent xmlns:mc="http://schemas.openxmlformats.org/markup-compatibility/2006">
    <mc:Choice Requires="x15">
      <x15ac:absPath xmlns:x15ac="http://schemas.microsoft.com/office/spreadsheetml/2010/11/ac" url="https://eegovg01-my.sharepoint.com/personal/aleksandr_michelson_mkm_ee/Documents/Töölaud/"/>
    </mc:Choice>
  </mc:AlternateContent>
  <xr:revisionPtr revIDLastSave="11952" documentId="13_ncr:1_{8312DD49-4717-4B35-BA7E-D7163A41987E}" xr6:coauthVersionLast="47" xr6:coauthVersionMax="47" xr10:uidLastSave="{1D32CABD-B5C1-48CD-BF7B-38C9DC500037}"/>
  <bookViews>
    <workbookView xWindow="-110" yWindow="-110" windowWidth="19420" windowHeight="11500" xr2:uid="{AC815678-4DB9-40D5-B9F4-DBDA30359AD6}"/>
  </bookViews>
  <sheets>
    <sheet name="10.04.2025, algus" sheetId="16" r:id="rId1"/>
    <sheet name="10.04.2025 mudeli tööpiirkond" sheetId="15" r:id="rId2"/>
    <sheet name="Juhend" sheetId="12" r:id="rId3"/>
    <sheet name="Sisend" sheetId="9" r:id="rId4"/>
    <sheet name="Väljund" sheetId="10" r:id="rId5"/>
    <sheet name="Parameetrid" sheetId="11" r:id="rId6"/>
    <sheet name="maj_arvutused" sheetId="2" r:id="rId7"/>
    <sheet name="kuv_arvutused" sheetId="7" r:id="rId8"/>
    <sheet name="sots_arvutused" sheetId="6" r:id="rId9"/>
    <sheet name="KOV-id" sheetId="13" r:id="rId10"/>
    <sheet name="GPT cache" sheetId="14" state="veryHidden" r:id="rId1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1" i="9" l="1"/>
  <c r="M38" i="11" l="1"/>
  <c r="B7" i="10" s="1"/>
  <c r="E8" i="10" l="1"/>
  <c r="O13" i="2"/>
  <c r="J9" i="11"/>
  <c r="J7" i="11"/>
  <c r="J5" i="11"/>
  <c r="I9" i="11"/>
  <c r="I7" i="11"/>
  <c r="I5" i="11"/>
  <c r="D31" i="9"/>
  <c r="C84" i="13" l="1"/>
  <c r="L38" i="11"/>
  <c r="E6" i="13"/>
  <c r="C8" i="9" s="1"/>
  <c r="O3" i="7" l="1"/>
  <c r="O2" i="7"/>
  <c r="T59" i="11"/>
  <c r="K12" i="7"/>
  <c r="K25" i="7"/>
  <c r="L10" i="6"/>
  <c r="C52" i="9"/>
  <c r="Q7" i="7"/>
  <c r="C13" i="7" l="1"/>
  <c r="C11" i="7"/>
  <c r="C12" i="7"/>
  <c r="C5" i="9"/>
  <c r="D37" i="9" l="1"/>
  <c r="D36" i="9"/>
  <c r="A19" i="11" l="1"/>
  <c r="B19" i="11" s="1"/>
  <c r="E36" i="9" l="1"/>
  <c r="B27" i="11"/>
  <c r="C27" i="11" s="1"/>
  <c r="E37" i="9" l="1"/>
  <c r="E33" i="9"/>
  <c r="D33" i="9"/>
  <c r="D34" i="9"/>
  <c r="D35" i="9"/>
  <c r="E34" i="9"/>
  <c r="C28" i="9"/>
  <c r="D28" i="9"/>
  <c r="E28" i="9"/>
  <c r="F28" i="9"/>
  <c r="B28" i="9"/>
  <c r="J27" i="9"/>
  <c r="H27" i="9"/>
  <c r="G27" i="9"/>
  <c r="U24" i="11"/>
  <c r="C8" i="7" l="1"/>
  <c r="E35" i="9"/>
  <c r="D38" i="9"/>
  <c r="I27" i="9"/>
  <c r="K27" i="9" l="1"/>
  <c r="K29" i="9" s="1"/>
  <c r="J10" i="11"/>
  <c r="I10" i="11"/>
  <c r="I11" i="11"/>
  <c r="I6" i="11"/>
  <c r="K38" i="11"/>
  <c r="H16" i="9" s="1"/>
  <c r="D18" i="9" l="1"/>
  <c r="B2" i="7" l="1"/>
  <c r="D51" i="9"/>
  <c r="V14" i="2" l="1"/>
  <c r="K20" i="11" l="1"/>
  <c r="K21" i="11" s="1"/>
  <c r="K23" i="11" s="1"/>
  <c r="G26" i="9" s="1"/>
  <c r="J11" i="11" l="1"/>
  <c r="J6" i="11"/>
  <c r="J12" i="11" l="1"/>
  <c r="I12" i="11" l="1"/>
  <c r="A2" i="10"/>
  <c r="A2" i="11"/>
  <c r="P27" i="11"/>
  <c r="P26" i="11"/>
  <c r="P25" i="11"/>
  <c r="G25" i="9" l="1"/>
  <c r="G24" i="9"/>
  <c r="G28" i="9" l="1"/>
  <c r="B22" i="9" s="1"/>
  <c r="A8" i="10" l="1"/>
  <c r="E38" i="9"/>
  <c r="O12" i="2"/>
  <c r="O14" i="2"/>
  <c r="O11" i="2"/>
  <c r="E11" i="2"/>
  <c r="AA25" i="2"/>
  <c r="X16" i="2"/>
  <c r="X25" i="2" s="1"/>
  <c r="Y16" i="2"/>
  <c r="Y25" i="2" s="1"/>
  <c r="Z16" i="2"/>
  <c r="Z25" i="2" s="1"/>
  <c r="AA16" i="2"/>
  <c r="AB16" i="2"/>
  <c r="AB25" i="2" s="1"/>
  <c r="AC16" i="2"/>
  <c r="AC25" i="2" s="1"/>
  <c r="W16" i="2"/>
  <c r="W25" i="2" s="1"/>
  <c r="R16" i="2"/>
  <c r="R25" i="2" s="1"/>
  <c r="S16" i="2"/>
  <c r="S25" i="2" s="1"/>
  <c r="T16" i="2"/>
  <c r="T25" i="2" s="1"/>
  <c r="U16" i="2"/>
  <c r="U25" i="2" s="1"/>
  <c r="V16" i="2"/>
  <c r="V25" i="2" s="1"/>
  <c r="P16" i="2"/>
  <c r="P25" i="2" s="1"/>
  <c r="Q16" i="2"/>
  <c r="Q25" i="2" s="1"/>
  <c r="I10" i="2"/>
  <c r="H15" i="9" s="1"/>
  <c r="J13" i="11" l="1"/>
  <c r="I13" i="11"/>
  <c r="U28" i="11" l="1"/>
  <c r="B42" i="11" s="1"/>
  <c r="C39" i="11"/>
  <c r="R15" i="2"/>
  <c r="R14" i="2"/>
  <c r="B2" i="6"/>
  <c r="B5" i="6"/>
  <c r="E5" i="2"/>
  <c r="A2" i="2"/>
  <c r="L2" i="2" s="1"/>
  <c r="A3" i="2"/>
  <c r="L3" i="2" s="1"/>
  <c r="A4" i="2"/>
  <c r="L4" i="2" s="1"/>
  <c r="A5" i="2"/>
  <c r="L5" i="2" s="1"/>
  <c r="A6" i="2"/>
  <c r="A7" i="2"/>
  <c r="L7" i="2" s="1"/>
  <c r="B16" i="7"/>
  <c r="W47" i="11" s="1"/>
  <c r="H31" i="11"/>
  <c r="B14" i="7" s="1"/>
  <c r="B29" i="11"/>
  <c r="B28" i="11"/>
  <c r="B30" i="11"/>
  <c r="B31" i="11"/>
  <c r="B5" i="7" s="1"/>
  <c r="AC24" i="2"/>
  <c r="W24" i="2"/>
  <c r="L17" i="2"/>
  <c r="L18" i="2"/>
  <c r="L19" i="2"/>
  <c r="L20" i="2"/>
  <c r="L21" i="2"/>
  <c r="L22" i="2"/>
  <c r="L23" i="2"/>
  <c r="L24" i="2"/>
  <c r="L8" i="2"/>
  <c r="P24" i="2"/>
  <c r="L9" i="6" l="1"/>
  <c r="B6" i="6"/>
  <c r="C16" i="9"/>
  <c r="E4" i="6"/>
  <c r="E4" i="2"/>
  <c r="E2" i="2"/>
  <c r="C48" i="9"/>
  <c r="B8" i="7" s="1"/>
  <c r="N15" i="7" s="1"/>
  <c r="E6" i="2"/>
  <c r="E7" i="2"/>
  <c r="F6" i="13"/>
  <c r="G15" i="9" s="1"/>
  <c r="F18" i="2" l="1"/>
  <c r="F19" i="2"/>
  <c r="F20" i="2"/>
  <c r="F21" i="2"/>
  <c r="F22" i="2"/>
  <c r="F17" i="2"/>
  <c r="F23" i="2"/>
  <c r="L2" i="6"/>
  <c r="C41" i="9" s="1"/>
  <c r="G6" i="6"/>
  <c r="E3" i="6"/>
  <c r="L1" i="6"/>
  <c r="C42" i="9" s="1"/>
  <c r="H7" i="6"/>
  <c r="C15" i="9"/>
  <c r="Z10" i="2"/>
  <c r="C47" i="9"/>
  <c r="B39" i="9"/>
  <c r="E3" i="2"/>
  <c r="H24" i="9" l="1"/>
  <c r="C17" i="9"/>
  <c r="D17" i="9" s="1"/>
  <c r="B3" i="7"/>
  <c r="D15" i="9"/>
  <c r="H25" i="9"/>
  <c r="I25" i="9" s="1"/>
  <c r="H26" i="9"/>
  <c r="I26" i="9" s="1"/>
  <c r="B8" i="6"/>
  <c r="I9" i="6" s="1"/>
  <c r="D16" i="9"/>
  <c r="B7" i="6"/>
  <c r="E2" i="6" s="1"/>
  <c r="Z11" i="2"/>
  <c r="Z12" i="2"/>
  <c r="AA10" i="2"/>
  <c r="H11" i="2"/>
  <c r="B9" i="7"/>
  <c r="N14" i="7" s="1"/>
  <c r="R50" i="11"/>
  <c r="R51" i="11" s="1"/>
  <c r="Q50" i="11"/>
  <c r="Q51" i="11" s="1"/>
  <c r="E14" i="2"/>
  <c r="E8" i="2"/>
  <c r="I24" i="9" l="1"/>
  <c r="I28" i="9" s="1"/>
  <c r="H28" i="9"/>
  <c r="G4" i="7"/>
  <c r="J29" i="7"/>
  <c r="J10" i="7" s="1"/>
  <c r="J11" i="7" s="1"/>
  <c r="J28" i="7"/>
  <c r="J23" i="7" s="1"/>
  <c r="J24" i="7" s="1"/>
  <c r="A35" i="11"/>
  <c r="B35" i="11" s="1"/>
  <c r="B41" i="11"/>
  <c r="C50" i="9" s="1"/>
  <c r="B12" i="7" s="1"/>
  <c r="I8" i="2"/>
  <c r="I3" i="2"/>
  <c r="I4" i="2"/>
  <c r="I5" i="2"/>
  <c r="I6" i="2"/>
  <c r="I7" i="2"/>
  <c r="I2" i="2"/>
  <c r="N2" i="7"/>
  <c r="J26" i="9"/>
  <c r="K26" i="9" s="1"/>
  <c r="J25" i="9"/>
  <c r="K25" i="9" s="1"/>
  <c r="C18" i="9"/>
  <c r="C49" i="9"/>
  <c r="B11" i="7" s="1"/>
  <c r="H12" i="2"/>
  <c r="H13" i="2"/>
  <c r="E10" i="6"/>
  <c r="B3" i="6"/>
  <c r="F5" i="6" s="1"/>
  <c r="G11" i="2"/>
  <c r="G13" i="2" s="1"/>
  <c r="B4" i="7"/>
  <c r="G17" i="7" s="1"/>
  <c r="J24" i="9" l="1"/>
  <c r="K24" i="9" s="1"/>
  <c r="K28" i="9" s="1"/>
  <c r="I29" i="7"/>
  <c r="I9" i="7" s="1"/>
  <c r="I28" i="7"/>
  <c r="O10" i="7"/>
  <c r="N6" i="7"/>
  <c r="N7" i="7"/>
  <c r="G6" i="7"/>
  <c r="G19" i="7"/>
  <c r="I22" i="7"/>
  <c r="Q10" i="2"/>
  <c r="C45" i="9"/>
  <c r="N5" i="7"/>
  <c r="F10" i="6"/>
  <c r="N3" i="7"/>
  <c r="E13" i="2"/>
  <c r="F11" i="2"/>
  <c r="G12" i="2"/>
  <c r="E12" i="2" s="1"/>
  <c r="B4" i="6"/>
  <c r="I8" i="6" s="1"/>
  <c r="I10" i="6" s="1"/>
  <c r="Q57" i="11"/>
  <c r="J28" i="9" l="1"/>
  <c r="S10" i="2" s="1"/>
  <c r="F33" i="7"/>
  <c r="F2" i="7" s="1"/>
  <c r="B17" i="10"/>
  <c r="D17" i="10" s="1"/>
  <c r="C46" i="9"/>
  <c r="C51" i="9" s="1"/>
  <c r="B13" i="7" s="1"/>
  <c r="G10" i="6"/>
  <c r="H20" i="7"/>
  <c r="H7" i="7"/>
  <c r="N10" i="7"/>
  <c r="O5" i="7"/>
  <c r="E10" i="2"/>
  <c r="O11" i="7"/>
  <c r="N11" i="7"/>
  <c r="R57" i="11"/>
  <c r="H10" i="6"/>
  <c r="F10" i="2"/>
  <c r="H10" i="2"/>
  <c r="B15" i="7"/>
  <c r="B25" i="11"/>
  <c r="G5" i="2"/>
  <c r="G2" i="2"/>
  <c r="H2" i="2" s="1"/>
  <c r="G6" i="2"/>
  <c r="F5" i="2"/>
  <c r="F4" i="2"/>
  <c r="G7" i="2"/>
  <c r="F2" i="2"/>
  <c r="G4" i="2"/>
  <c r="F7" i="2"/>
  <c r="F6" i="2"/>
  <c r="F3" i="2"/>
  <c r="F8" i="2"/>
  <c r="G3" i="2"/>
  <c r="G8" i="2"/>
  <c r="G28" i="7" l="1"/>
  <c r="G29" i="7"/>
  <c r="F32" i="7"/>
  <c r="F15" i="7" s="1"/>
  <c r="G33" i="7"/>
  <c r="G18" i="7"/>
  <c r="G24" i="7" s="1"/>
  <c r="B26" i="11"/>
  <c r="B7" i="7" s="1"/>
  <c r="G5" i="7"/>
  <c r="G11" i="7" s="1"/>
  <c r="I24" i="7"/>
  <c r="I11" i="7"/>
  <c r="H29" i="7"/>
  <c r="H28" i="7"/>
  <c r="B10" i="7"/>
  <c r="B6" i="7"/>
  <c r="H21" i="7" s="1"/>
  <c r="C25" i="11"/>
  <c r="B10" i="6"/>
  <c r="B11" i="6" s="1"/>
  <c r="E19" i="2"/>
  <c r="G19" i="2" s="1"/>
  <c r="E21" i="2"/>
  <c r="G21" i="2" s="1"/>
  <c r="E23" i="2"/>
  <c r="G23" i="2" s="1"/>
  <c r="E18" i="2"/>
  <c r="G18" i="2" s="1"/>
  <c r="E20" i="2"/>
  <c r="G20" i="2" s="1"/>
  <c r="E22" i="2"/>
  <c r="G22" i="2" s="1"/>
  <c r="E17" i="2"/>
  <c r="G17" i="2" s="1"/>
  <c r="Q2" i="2"/>
  <c r="R2" i="2" s="1"/>
  <c r="S2" i="2" s="1"/>
  <c r="T2" i="2" s="1"/>
  <c r="U2" i="2" s="1"/>
  <c r="G10" i="2"/>
  <c r="R10" i="2"/>
  <c r="T10" i="2" s="1"/>
  <c r="J4" i="2"/>
  <c r="J7" i="2"/>
  <c r="J6" i="2"/>
  <c r="J2" i="2"/>
  <c r="J5" i="2"/>
  <c r="Q3" i="2"/>
  <c r="R3" i="2" s="1"/>
  <c r="S3" i="2" s="1"/>
  <c r="T3" i="2" s="1"/>
  <c r="U3" i="2" s="1"/>
  <c r="G32" i="7" l="1"/>
  <c r="F3" i="7"/>
  <c r="H21" i="2"/>
  <c r="H22" i="2"/>
  <c r="X22" i="2" s="1"/>
  <c r="Y22" i="2" s="1"/>
  <c r="Z22" i="2" s="1"/>
  <c r="AA22" i="2" s="1"/>
  <c r="AB22" i="2" s="1"/>
  <c r="H19" i="2"/>
  <c r="H18" i="2"/>
  <c r="X18" i="2" s="1"/>
  <c r="Y18" i="2" s="1"/>
  <c r="Z18" i="2" s="1"/>
  <c r="AA18" i="2" s="1"/>
  <c r="AB18" i="2" s="1"/>
  <c r="H20" i="2"/>
  <c r="X20" i="2" s="1"/>
  <c r="Y20" i="2" s="1"/>
  <c r="Z20" i="2" s="1"/>
  <c r="AA20" i="2" s="1"/>
  <c r="AB20" i="2" s="1"/>
  <c r="H17" i="2"/>
  <c r="X17" i="2" s="1"/>
  <c r="Y17" i="2" s="1"/>
  <c r="Z17" i="2" s="1"/>
  <c r="AA17" i="2" s="1"/>
  <c r="AB17" i="2" s="1"/>
  <c r="H23" i="2"/>
  <c r="X23" i="2" s="1"/>
  <c r="Y23" i="2" s="1"/>
  <c r="Z23" i="2" s="1"/>
  <c r="AA23" i="2" s="1"/>
  <c r="AB23" i="2" s="1"/>
  <c r="F11" i="7"/>
  <c r="F28" i="7"/>
  <c r="F16" i="7"/>
  <c r="F24" i="7" s="1"/>
  <c r="H32" i="7"/>
  <c r="H33" i="7"/>
  <c r="B21" i="7" s="1"/>
  <c r="F29" i="7"/>
  <c r="B24" i="10"/>
  <c r="D24" i="10" s="1"/>
  <c r="C26" i="11"/>
  <c r="H8" i="7"/>
  <c r="H11" i="7" s="1"/>
  <c r="H24" i="7"/>
  <c r="B35" i="10"/>
  <c r="C35" i="10" s="1"/>
  <c r="C6" i="10" s="1"/>
  <c r="X19" i="2"/>
  <c r="Y19" i="2" s="1"/>
  <c r="Z19" i="2" s="1"/>
  <c r="AA19" i="2" s="1"/>
  <c r="AB19" i="2" s="1"/>
  <c r="X21" i="2"/>
  <c r="Y21" i="2" s="1"/>
  <c r="Z21" i="2" s="1"/>
  <c r="AA21" i="2" s="1"/>
  <c r="AB21" i="2" s="1"/>
  <c r="V2" i="2"/>
  <c r="G24" i="2"/>
  <c r="E24" i="2"/>
  <c r="Q17" i="2"/>
  <c r="R17" i="2" s="1"/>
  <c r="S17" i="2" s="1"/>
  <c r="Q18" i="2"/>
  <c r="R18" i="2" s="1"/>
  <c r="S18" i="2" s="1"/>
  <c r="Q21" i="2"/>
  <c r="R21" i="2" s="1"/>
  <c r="S21" i="2" s="1"/>
  <c r="V21" i="2" s="1"/>
  <c r="Q22" i="2"/>
  <c r="R22" i="2" s="1"/>
  <c r="S22" i="2" s="1"/>
  <c r="Q19" i="2"/>
  <c r="R19" i="2" s="1"/>
  <c r="S19" i="2" s="1"/>
  <c r="Q20" i="2"/>
  <c r="R20" i="2" s="1"/>
  <c r="S20" i="2" s="1"/>
  <c r="V20" i="2" s="1"/>
  <c r="Q23" i="2"/>
  <c r="R23" i="2" s="1"/>
  <c r="S23" i="2" s="1"/>
  <c r="V23" i="2" s="1"/>
  <c r="K7" i="2"/>
  <c r="X7" i="2" s="1"/>
  <c r="H4" i="2"/>
  <c r="V4" i="2" s="1"/>
  <c r="J3" i="2"/>
  <c r="H3" i="2"/>
  <c r="V3" i="2" s="1"/>
  <c r="Q4" i="2"/>
  <c r="R4" i="2" s="1"/>
  <c r="S4" i="2" s="1"/>
  <c r="T4" i="2" s="1"/>
  <c r="U4" i="2" s="1"/>
  <c r="B22" i="7" l="1"/>
  <c r="I32" i="7"/>
  <c r="K11" i="7"/>
  <c r="I33" i="7"/>
  <c r="J33" i="7"/>
  <c r="K24" i="7"/>
  <c r="B20" i="7" s="1"/>
  <c r="B41" i="10" s="1"/>
  <c r="C41" i="10" s="1"/>
  <c r="B6" i="10"/>
  <c r="H24" i="2"/>
  <c r="T23" i="2"/>
  <c r="U23" i="2" s="1"/>
  <c r="T22" i="2"/>
  <c r="U22" i="2" s="1"/>
  <c r="V22" i="2" s="1"/>
  <c r="T21" i="2"/>
  <c r="U21" i="2" s="1"/>
  <c r="T18" i="2"/>
  <c r="U18" i="2" s="1"/>
  <c r="V18" i="2" s="1"/>
  <c r="T20" i="2"/>
  <c r="U20" i="2" s="1"/>
  <c r="V19" i="2"/>
  <c r="T19" i="2"/>
  <c r="U19" i="2" s="1"/>
  <c r="T17" i="2"/>
  <c r="U17" i="2" s="1"/>
  <c r="V17" i="2" s="1"/>
  <c r="X24" i="2"/>
  <c r="Q24" i="2"/>
  <c r="K2" i="2"/>
  <c r="X2" i="2" s="1"/>
  <c r="Y2" i="2" s="1"/>
  <c r="Z2" i="2" s="1"/>
  <c r="AA2" i="2" s="1"/>
  <c r="AB2" i="2" s="1"/>
  <c r="K5" i="2"/>
  <c r="X5" i="2" s="1"/>
  <c r="K3" i="2"/>
  <c r="X3" i="2" s="1"/>
  <c r="Y3" i="2" s="1"/>
  <c r="Z3" i="2" s="1"/>
  <c r="AA3" i="2" s="1"/>
  <c r="AB3" i="2" s="1"/>
  <c r="K6" i="2"/>
  <c r="W6" i="2" s="1"/>
  <c r="AC6" i="2" s="1"/>
  <c r="K4" i="2"/>
  <c r="X4" i="2" s="1"/>
  <c r="Y4" i="2" s="1"/>
  <c r="Z4" i="2" s="1"/>
  <c r="AA4" i="2" s="1"/>
  <c r="AB4" i="2" s="1"/>
  <c r="J8" i="2"/>
  <c r="H5" i="2"/>
  <c r="V5" i="2" s="1"/>
  <c r="Q5" i="2"/>
  <c r="R5" i="2" s="1"/>
  <c r="Y24" i="2"/>
  <c r="R24" i="2"/>
  <c r="B19" i="7" l="1"/>
  <c r="B40" i="10" s="1"/>
  <c r="C40" i="10" s="1"/>
  <c r="B45" i="10"/>
  <c r="V24" i="2"/>
  <c r="K8" i="2"/>
  <c r="X8" i="2" s="1"/>
  <c r="Y5" i="2"/>
  <c r="P6" i="2"/>
  <c r="P8" i="2" s="1"/>
  <c r="H6" i="2"/>
  <c r="V6" i="2" s="1"/>
  <c r="S5" i="2"/>
  <c r="S24" i="2"/>
  <c r="Z24" i="2"/>
  <c r="B44" i="10" l="1"/>
  <c r="W8" i="2"/>
  <c r="AC8" i="2" s="1"/>
  <c r="AC26" i="2" s="1"/>
  <c r="B22" i="10" s="1"/>
  <c r="T5" i="2"/>
  <c r="Z5" i="2"/>
  <c r="Z6" i="2"/>
  <c r="AA6" i="2" s="1"/>
  <c r="AB6" i="2" s="1"/>
  <c r="S6" i="2"/>
  <c r="T6" i="2" s="1"/>
  <c r="U6" i="2" s="1"/>
  <c r="U24" i="2"/>
  <c r="T24" i="2"/>
  <c r="AB24" i="2"/>
  <c r="AA24" i="2"/>
  <c r="B46" i="10" l="1"/>
  <c r="C18" i="10" s="1"/>
  <c r="C11" i="10"/>
  <c r="B43" i="10"/>
  <c r="C43" i="10" s="1"/>
  <c r="B42" i="10"/>
  <c r="C42" i="10" s="1"/>
  <c r="P26" i="2"/>
  <c r="B13" i="10" s="1"/>
  <c r="U5" i="2"/>
  <c r="W26" i="2"/>
  <c r="B20" i="10" s="1"/>
  <c r="AA5" i="2"/>
  <c r="AB5" i="2" l="1"/>
  <c r="Q7" i="2" l="1"/>
  <c r="H7" i="2"/>
  <c r="H8" i="2" l="1"/>
  <c r="V8" i="2" s="1"/>
  <c r="R7" i="2"/>
  <c r="S7" i="2" s="1"/>
  <c r="Q8" i="2"/>
  <c r="V7" i="2"/>
  <c r="R8" i="2" l="1"/>
  <c r="S8" i="2" s="1"/>
  <c r="T7" i="2"/>
  <c r="V26" i="2"/>
  <c r="B15" i="10" s="1"/>
  <c r="B30" i="10" s="1"/>
  <c r="Y7" i="2"/>
  <c r="Y8" i="2" s="1"/>
  <c r="X26" i="2"/>
  <c r="Q26" i="2"/>
  <c r="C15" i="10" l="1"/>
  <c r="D15" i="10" s="1"/>
  <c r="U7" i="2"/>
  <c r="T8" i="2"/>
  <c r="Z7" i="2"/>
  <c r="Z8" i="2" s="1"/>
  <c r="Y26" i="2"/>
  <c r="B21" i="10" s="1"/>
  <c r="R26" i="2"/>
  <c r="B14" i="10" s="1"/>
  <c r="U8" i="2" l="1"/>
  <c r="T26" i="2"/>
  <c r="B16" i="10" s="1"/>
  <c r="S26" i="2"/>
  <c r="B12" i="10" s="1"/>
  <c r="AA7" i="2"/>
  <c r="AA8" i="2" s="1"/>
  <c r="Z26" i="2"/>
  <c r="B19" i="10" s="1"/>
  <c r="U26" i="2" l="1"/>
  <c r="B11" i="10" s="1"/>
  <c r="B27" i="10" s="1"/>
  <c r="AB7" i="2"/>
  <c r="AA26" i="2"/>
  <c r="B23" i="10" s="1"/>
  <c r="D27" i="10" l="1"/>
  <c r="D28" i="10" s="1"/>
  <c r="B28" i="10"/>
  <c r="B26" i="10"/>
  <c r="D11" i="10"/>
  <c r="AB8" i="2"/>
  <c r="AB26" i="2" s="1"/>
  <c r="B18" i="10" s="1"/>
  <c r="C27" i="10" s="1"/>
  <c r="E27" i="10" s="1"/>
  <c r="B29" i="10" l="1"/>
  <c r="B5" i="10"/>
  <c r="B4" i="10" s="1"/>
  <c r="C4" i="10" s="1"/>
  <c r="D26" i="10"/>
  <c r="D29" i="10" s="1"/>
  <c r="C26" i="10"/>
  <c r="C29" i="10" s="1"/>
  <c r="E26" i="10"/>
  <c r="E29" i="10" s="1"/>
  <c r="D18"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HP Elitebook 860 G10</author>
    <author>37256</author>
    <author>Bernard  Niitra</author>
  </authors>
  <commentList>
    <comment ref="B5" authorId="0" shapeId="0" xr:uid="{E9C8114C-6A6D-4FC9-B8E5-EC95E6A49C61}">
      <text>
        <r>
          <rPr>
            <sz val="9"/>
            <color rgb="FF000000"/>
            <rFont val="Segoe UI"/>
            <family val="2"/>
            <charset val="1"/>
          </rPr>
          <t>Kui festivali vm suure sündmuse raames toimub mitu üritust, näiteks, mitu seanssi või etendust, siis kirjuta siia lahtrisse mitte külastuste, vaid külastajate arv. Kui üks külastaja külastab kaht etendust, siis läheb ta arvesse ainult ühe külastajana</t>
        </r>
      </text>
    </comment>
    <comment ref="A7" authorId="1" shapeId="0" xr:uid="{0B2E1D62-D147-403B-9757-10A92C161CB3}">
      <text>
        <r>
          <rPr>
            <sz val="9"/>
            <color indexed="81"/>
            <rFont val="Tahoma"/>
            <family val="2"/>
          </rPr>
          <t xml:space="preserve">Mudeli kasutaja peab ise otsustama, millise tüübiga sarnaneb konkreetne sündmus, arvestades seda, et tüübi valik mõjutab eelkõige lihtpäringu tulemust. Detailse päringu kasutamisel sõltub mõju hinnang konkreetsetest mudelisse sisestatud näitajatest (piletitulu, osalustasu, rahvusvaheliste ülekannete vaatajate arv, ülekannete geograafiline ulatus jm).
</t>
        </r>
      </text>
    </comment>
    <comment ref="B8" authorId="0" shapeId="0" xr:uid="{2EFB3E87-A774-4A2E-A068-4B99E5E80618}">
      <text>
        <r>
          <rPr>
            <sz val="9"/>
            <color rgb="FF000000"/>
            <rFont val="Segoe UI"/>
            <family val="2"/>
            <charset val="1"/>
          </rPr>
          <t>Mudeli väljund sõltub sellest, kas sündmuse KOV on Tallinn, Tartu või muu omavalitsusüksus.
Allpool mõned näited. Tallinnas toimuval suurel sündmusel on eeldatavalt suurem kohalike elanike osakaal kui Paides toimuval. Tallinnast hajub vähem ettevõtlustulu teistesse omavalitsusüksustesse. Sündmuse sotsiaalsed mõjud kipuvad Tallinnas rohkem hajuma. Võimalik on sisestada ka mõni muu uuritav piirkond, mille elanike arvu peab kasutaja ise sisestama.</t>
        </r>
      </text>
    </comment>
    <comment ref="D14" authorId="0" shapeId="0" xr:uid="{FE5D698E-C5CC-4145-B240-414A05C13203}">
      <text>
        <r>
          <rPr>
            <sz val="9"/>
            <color rgb="FF000000"/>
            <rFont val="Segoe UI"/>
            <family val="2"/>
            <charset val="1"/>
          </rPr>
          <t>Isetäituvad lahtrid. Need pole mudeli sisendina kasutusel</t>
        </r>
      </text>
    </comment>
    <comment ref="E14" authorId="0" shapeId="0" xr:uid="{FDA8725D-878A-4297-AE23-9EF18649EE59}">
      <text>
        <r>
          <rPr>
            <sz val="9"/>
            <color indexed="81"/>
            <rFont val="Segoe UI"/>
            <family val="2"/>
          </rPr>
          <t>Mitu ööd keskmiselt sündmuse tõttu Eestisse saabunud külastaja Eestis viibib?</t>
        </r>
      </text>
    </comment>
    <comment ref="F14" authorId="0" shapeId="0" xr:uid="{8A18D9E2-247F-42EC-B9EF-E6C13A5E2C5A}">
      <text>
        <r>
          <rPr>
            <sz val="9"/>
            <color indexed="81"/>
            <rFont val="Segoe UI"/>
            <family val="2"/>
          </rPr>
          <t>Mitu ööd keskmiselt sündmuse tõttu antud KOV-i saabunud külastaja selles KOV-is viibib?</t>
        </r>
      </text>
    </comment>
    <comment ref="A15" authorId="0" shapeId="0" xr:uid="{8457983B-5554-46F8-8F88-CF7BFFA8E6A1}">
      <text>
        <r>
          <rPr>
            <sz val="9"/>
            <color indexed="81"/>
            <rFont val="Segoe UI"/>
            <family val="2"/>
          </rPr>
          <t>Väliskülastaja - ei ela püsivalt Eestis, viibib siin alla 12 kuu</t>
        </r>
      </text>
    </comment>
    <comment ref="A16" authorId="0" shapeId="0" xr:uid="{4A217ECE-8E18-491A-B719-56295F7DDC08}">
      <text>
        <r>
          <rPr>
            <sz val="9"/>
            <color indexed="81"/>
            <rFont val="Segoe UI"/>
            <family val="2"/>
          </rPr>
          <t>Sisekülastaja - elab Eestis, kuid mitte sündmuse omavalitsuses</t>
        </r>
      </text>
    </comment>
    <comment ref="A17" authorId="0" shapeId="0" xr:uid="{0614D8B5-1533-43C0-B82E-48D1ECA2BE8E}">
      <text>
        <r>
          <rPr>
            <sz val="9"/>
            <color indexed="81"/>
            <rFont val="Segoe UI"/>
            <family val="2"/>
          </rPr>
          <t>kohalik elanik - elab sündmuse toimumise omavalitsusüksuses</t>
        </r>
      </text>
    </comment>
    <comment ref="A22" authorId="1" shapeId="0" xr:uid="{5A848FEB-4A66-408D-9C61-C3AD387C70F9}">
      <text>
        <r>
          <rPr>
            <sz val="9"/>
            <color indexed="81"/>
            <rFont val="Tahoma"/>
            <family val="2"/>
          </rPr>
          <t xml:space="preserve">Mudel töötab peamiselt suurte kultuuri- ja spordisündmuste peal, mille eelarve ületab 100 000 € </t>
        </r>
      </text>
    </comment>
    <comment ref="E23" authorId="0" shapeId="0" xr:uid="{E739022E-CD4B-408E-8FDC-E1F989D0859D}">
      <text>
        <r>
          <rPr>
            <sz val="9"/>
            <color indexed="81"/>
            <rFont val="Segoe UI"/>
            <family val="2"/>
          </rPr>
          <t>kohalik - sündmuse toimumise omavalitsususüksus</t>
        </r>
      </text>
    </comment>
    <comment ref="A27" authorId="0" shapeId="0" xr:uid="{96063719-52EF-4875-B9BA-8491995B2020}">
      <text>
        <r>
          <rPr>
            <sz val="9"/>
            <color indexed="81"/>
            <rFont val="Segoe UI"/>
            <family val="2"/>
          </rPr>
          <t>Mudel arvutab selle rea põhjal toetuste tasuvust. NB! Mudel pole võmeline toetusi ja sponsorrahasid prognoosima, kuid enamasti on need kulude katmiseks kriitiliselt vajalikud. Seega, kasutaja peab ise selle rea täitma</t>
        </r>
      </text>
    </comment>
    <comment ref="D27" authorId="1" shapeId="0" xr:uid="{AC3D69E3-D797-4F42-9D64-716855EEC37A}">
      <text>
        <r>
          <rPr>
            <sz val="9"/>
            <color indexed="81"/>
            <rFont val="Tahoma"/>
            <family val="2"/>
          </rPr>
          <t xml:space="preserve">Mudel arvutab selle lahtri põhjal Eesti toetuste tasuvust Eesti jaoks
</t>
        </r>
      </text>
    </comment>
    <comment ref="E27" authorId="1" shapeId="0" xr:uid="{F28D54E1-F955-4860-9D68-2C7B15527860}">
      <text>
        <r>
          <rPr>
            <sz val="9"/>
            <color indexed="81"/>
            <rFont val="Tahoma"/>
            <family val="2"/>
          </rPr>
          <t>Mudel arvutab selle lahtri põhjal kohaliku omavalitsuse toetuse tasuvust selle omavalitsusüksuse jaoks</t>
        </r>
      </text>
    </comment>
    <comment ref="E30" authorId="0" shapeId="0" xr:uid="{5713B3C5-578B-4838-9E95-14B6ECF5CEAE}">
      <text>
        <r>
          <rPr>
            <sz val="9"/>
            <color indexed="81"/>
            <rFont val="Segoe UI"/>
            <family val="2"/>
          </rPr>
          <t>Kui külastajate arv on alla 4000, tuleks Eestis tehtavad kulud sisestada käsitsi</t>
        </r>
      </text>
    </comment>
    <comment ref="B31" authorId="1" shapeId="0" xr:uid="{A3D13B3A-95E7-4ABE-9BAB-1A4712863CA0}">
      <text>
        <r>
          <rPr>
            <sz val="9"/>
            <color indexed="81"/>
            <rFont val="Tahoma"/>
            <family val="2"/>
          </rPr>
          <t>Kui see lahter on kollane, siis mudel töötab, kuid ei arvesta eraldi kuluridu. Kui kuluread (34 - 39) klapivad kogukuluga (rida 32), siis võtab mudel iga kulurida eraldi arvesse</t>
        </r>
      </text>
    </comment>
    <comment ref="C31" authorId="1" shapeId="0" xr:uid="{5B45ED54-D695-4E6E-8FDD-F91FE9EC0021}">
      <text>
        <r>
          <rPr>
            <sz val="9"/>
            <color indexed="81"/>
            <rFont val="Tahoma"/>
            <family val="2"/>
          </rPr>
          <t>Kui see lahter on kollane, siis mudel töötab, kuid ei arvesta eraldi kuluridu</t>
        </r>
      </text>
    </comment>
    <comment ref="A38" authorId="0" shapeId="0" xr:uid="{B4875333-40A9-42B1-A977-EC2956C4E98E}">
      <text>
        <r>
          <rPr>
            <sz val="9"/>
            <color indexed="81"/>
            <rFont val="Segoe UI"/>
            <family val="2"/>
          </rPr>
          <t>kõik need kulud, mida eelnevatel ridadel ei kajastatud</t>
        </r>
      </text>
    </comment>
    <comment ref="A52" authorId="2" shapeId="0" xr:uid="{C33AE39C-A01C-4CF4-B6C4-BF83FDE09088}">
      <text>
        <r>
          <rPr>
            <sz val="11"/>
            <color theme="1"/>
            <rFont val="Calibri"/>
            <family val="2"/>
            <charset val="186"/>
            <scheme val="minor"/>
          </rPr>
          <t xml:space="preserve">Kas sündmuse raames tehakse koostööd mõne meediaväljaandega?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37256</author>
    <author>HP Elitebook 860 G10</author>
  </authors>
  <commentList>
    <comment ref="A7" authorId="0" shapeId="0" xr:uid="{D1946FA0-87CD-4BD3-B44A-B2E84147426C}">
      <text>
        <r>
          <rPr>
            <sz val="9"/>
            <color indexed="81"/>
            <rFont val="Tahoma"/>
            <family val="2"/>
          </rPr>
          <t>Ei kajastu koondhinnangus.</t>
        </r>
      </text>
    </comment>
    <comment ref="A9" authorId="1" shapeId="0" xr:uid="{25A958BA-3205-4F7A-8594-50EFEF0244DD}">
      <text>
        <r>
          <rPr>
            <sz val="9"/>
            <color indexed="81"/>
            <rFont val="Segoe UI"/>
            <family val="2"/>
          </rPr>
          <t>Vaata ka tulpades K kuni U olevaid jooniseid, mis selgitavad erinevate väljundnäitajate vahelisi seoseid</t>
        </r>
      </text>
    </comment>
    <comment ref="A10" authorId="1" shapeId="0" xr:uid="{78148313-9AA2-44C3-A932-8343059C3AA4}">
      <text>
        <r>
          <rPr>
            <sz val="9"/>
            <color indexed="81"/>
            <rFont val="Segoe UI"/>
            <family val="2"/>
          </rPr>
          <t xml:space="preserve">Kohalik tulu on siinses mudelis tüüpilisel juhul suurem kui tulu Eestile. Kohalik tulu hõlmab nii välismaalt kui teistest Eesti piirkondadest tulevat tulu. Tulu Eestile on aga vaid välismaalt Eestisse jõudev tulu. </t>
        </r>
      </text>
    </comment>
    <comment ref="B10" authorId="1" shapeId="0" xr:uid="{57F8C9C9-5A7F-4D20-8112-161869D865D9}">
      <text>
        <r>
          <rPr>
            <sz val="9"/>
            <color indexed="81"/>
            <rFont val="Segoe UI"/>
            <family val="2"/>
          </rPr>
          <t>Sündmuse enda lühiajaline tulu tekib peamiselt sündmuse ettevalmistamise ja toimumise käigus või mõne nädala jooksul pärast sündmust. See tulu johtub konkreetselt antud sündmusest</t>
        </r>
      </text>
    </comment>
    <comment ref="C10" authorId="1" shapeId="0" xr:uid="{232050C3-6A73-4BF3-AFE4-85C78D30D9A8}">
      <text>
        <r>
          <rPr>
            <sz val="9"/>
            <color indexed="81"/>
            <rFont val="Segoe UI"/>
            <family val="2"/>
          </rPr>
          <t>Kuvandi pikaajalise mõju tulu tuleneb sihtpiirkonna korduvkülastustest, mida antud sündmus esile kutsub. Seega, see tulu tekib hiljem, sest tänu sündmuse sihtkoha tuntuse levikule läbi sündmuse saabub sinna tulevikus rohkem külastajaid.</t>
        </r>
      </text>
    </comment>
    <comment ref="D10" authorId="1" shapeId="0" xr:uid="{D9CC1BA2-FA76-400E-A3DB-18960DE91DF2}">
      <text>
        <r>
          <rPr>
            <sz val="9"/>
            <color indexed="81"/>
            <rFont val="Segoe UI"/>
            <family val="2"/>
          </rPr>
          <t>Siin on kokku liidetud nii antud sündmuse kui ka selle poolt põhjustatud korduvkülastuste tulu</t>
        </r>
      </text>
    </comment>
    <comment ref="A11" authorId="1" shapeId="0" xr:uid="{AEC21B0D-F95D-4ADC-BE97-739AE4F6B911}">
      <text>
        <r>
          <rPr>
            <sz val="9"/>
            <color indexed="81"/>
            <rFont val="Segoe UI"/>
            <family val="2"/>
          </rPr>
          <t>tulu - raha elanikele
tulu Eestile - välismaa päritolu raha Eesti elanikele</t>
        </r>
      </text>
    </comment>
    <comment ref="A13" authorId="1" shapeId="0" xr:uid="{3258D23D-C4B1-4724-B704-9DCF5695A8C8}">
      <text>
        <r>
          <rPr>
            <sz val="9"/>
            <color indexed="81"/>
            <rFont val="Segoe UI"/>
            <family val="2"/>
          </rPr>
          <t>palgatulu</t>
        </r>
      </text>
    </comment>
    <comment ref="A17" authorId="1" shapeId="0" xr:uid="{B83D31F2-0940-4B7D-8109-C427E6969953}">
      <text>
        <r>
          <rPr>
            <sz val="9"/>
            <color indexed="81"/>
            <rFont val="Segoe UI"/>
            <family val="2"/>
          </rPr>
          <t>nt välismaistele esinejatele ja tehnilistele meeskondadele makstavad tasud</t>
        </r>
      </text>
    </comment>
    <comment ref="A18" authorId="1" shapeId="0" xr:uid="{9BED0793-EA65-4225-9C58-60A07751860E}">
      <text>
        <r>
          <rPr>
            <sz val="9"/>
            <color indexed="81"/>
            <rFont val="Segoe UI"/>
            <family val="2"/>
          </rPr>
          <t>Kohalik tulu - Välismaalt või teistest Eesti piirkondadest sündmuse toimumise omavalitsusüksuse inimestele jõudev raha. Näiteks, kui sündmus toimub Saaremaal, siis mõeldakse kohaliku tulu all Saaremaa valla elanikeni jõudvat raha</t>
        </r>
      </text>
    </comment>
    <comment ref="A20" authorId="1" shapeId="0" xr:uid="{C95F8B38-C88F-4F93-BD24-E0E40C0D1DD0}">
      <text>
        <r>
          <rPr>
            <sz val="9"/>
            <color indexed="81"/>
            <rFont val="Segoe UI"/>
            <family val="2"/>
          </rPr>
          <t>palgatulu</t>
        </r>
      </text>
    </comment>
    <comment ref="B25" authorId="1" shapeId="0" xr:uid="{F4E24E10-55E5-432E-A16A-F887E4637E89}">
      <text>
        <r>
          <rPr>
            <sz val="9"/>
            <color indexed="81"/>
            <rFont val="Segoe UI"/>
            <family val="2"/>
          </rPr>
          <t>Teoreetiliselt on võimalik, et Eesti toetajad ega külastajad ei panusta sündmusesse sentigi ja sellisel juhul pole tasuvus arvutatav</t>
        </r>
      </text>
    </comment>
    <comment ref="C25" authorId="1" shapeId="0" xr:uid="{A29033DF-1EB3-4AFA-837E-563C4FC88F3F}">
      <text>
        <r>
          <rPr>
            <sz val="9"/>
            <color indexed="81"/>
            <rFont val="Segoe UI"/>
            <family val="2"/>
          </rPr>
          <t>Teoreetiliselt on võimalik, et kohalikud toetajad ega külastajad ei panustanud sündmusesse sentigi ja sellisel juhul pole tasuvus arvutatav</t>
        </r>
      </text>
    </comment>
    <comment ref="A27" authorId="1" shapeId="0" xr:uid="{59A21AB0-5401-419E-8098-B1D27967F639}">
      <text>
        <r>
          <rPr>
            <sz val="9"/>
            <color indexed="81"/>
            <rFont val="Segoe UI"/>
            <family val="2"/>
          </rPr>
          <t>Sihtpiirkonda tuleva ja sealt mineva raha vahe</t>
        </r>
      </text>
    </comment>
    <comment ref="A30" authorId="1" shapeId="0" xr:uid="{DBBBCEDE-92F3-40C6-9C7D-CAA5B782FC6A}">
      <text>
        <r>
          <rPr>
            <sz val="9"/>
            <color indexed="81"/>
            <rFont val="Segoe UI"/>
            <family val="2"/>
          </rPr>
          <t>Selles bilansis on tulu poolel lihtsamini arvutatav esmane maksu- ja aktsiisitulu. Siit jääb välja riigitulu, mis tekib esilekutsutud tarbimisest, kuvandist jm</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HP Elitebook 860 G10</author>
    <author>37256</author>
  </authors>
  <commentList>
    <comment ref="Q13" authorId="0" shapeId="0" xr:uid="{466BE3E0-8DDD-43B2-AC2E-1FD1381FB7AB}">
      <text>
        <r>
          <rPr>
            <b/>
            <sz val="9"/>
            <color indexed="81"/>
            <rFont val="Segoe UI"/>
            <family val="2"/>
          </rPr>
          <t>sõltub sündmuse kestusest</t>
        </r>
      </text>
    </comment>
    <comment ref="P14" authorId="0" shapeId="0" xr:uid="{6AFC8B27-37F1-4D72-974B-15D61A43F4DB}">
      <text>
        <r>
          <rPr>
            <b/>
            <sz val="9"/>
            <color indexed="81"/>
            <rFont val="Segoe UI"/>
            <family val="2"/>
          </rPr>
          <t>sõltub sündmuse kestusest</t>
        </r>
      </text>
    </comment>
    <comment ref="V47" authorId="1" shapeId="0" xr:uid="{5818244A-4FFE-4BA5-8D16-189F6A622F37}">
      <text>
        <r>
          <rPr>
            <b/>
            <sz val="9"/>
            <color indexed="81"/>
            <rFont val="Tahoma"/>
            <family val="2"/>
          </rPr>
          <t>37256:</t>
        </r>
        <r>
          <rPr>
            <sz val="9"/>
            <color indexed="81"/>
            <rFont val="Tahoma"/>
            <family val="2"/>
          </rPr>
          <t xml:space="preserve">
Ülekannete vaatajaskonna kordaja sõltuvalt sündmuse tüübist</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tc={4E238BC2-CD91-4145-B83D-4812A29231F1}</author>
    <author>tc={73DE904E-31C4-4738-8E7C-8CCE9C686E56}</author>
    <author>tc={6A642791-C96A-4E4F-94A5-272ADBE611CB}</author>
    <author>tc={B4B7D990-54CF-40B2-817C-FF5CC69A100E}</author>
    <author>tc={1E5CEAB2-6314-47DD-A289-0E1A4B711577}</author>
    <author>tc={BADAAC5A-7E0A-4E78-8E04-C44C19DE4D3B}</author>
    <author>tc={F3455D17-FA57-45F8-A9C6-A3159DA685C0}</author>
    <author>tc={207581D5-76A2-4606-8847-D4304A57DC15}</author>
  </authors>
  <commentList>
    <comment ref="P1" authorId="0" shapeId="0" xr:uid="{4E238BC2-CD91-4145-B83D-4812A29231F1}">
      <text>
        <t>[Lõimkommentaar]
Teie Exceli versioon võimaldab teil seda lõimkommentaari lugeda, ent kõik sellesse tehtud muudatused eemaldatakse, kui fail avatakse Exceli uuemas versioonis. Lisateavet leiate siit: https://go.microsoft.com/fwlink/?linkid=870924.
Kommentaar:
    Eestisse jõudev palgasüst</t>
      </text>
    </comment>
    <comment ref="W10" authorId="1" shapeId="0" xr:uid="{73DE904E-31C4-4738-8E7C-8CCE9C686E56}">
      <text>
        <t>[Lõimkommentaar]
Teie Exceli versioon võimaldab teil seda lõimkommentaari lugeda, ent kõik sellesse tehtud muudatused eemaldatakse, kui fail avatakse Exceli uuemas versioonis. Lisateavet leiate siit: https://go.microsoft.com/fwlink/?linkid=870924.
Kommentaar:
    1 - Tallinn; 2 - Tartu; 3 - muu</t>
      </text>
    </comment>
    <comment ref="W11" authorId="2" shapeId="0" xr:uid="{6A642791-C96A-4E4F-94A5-272ADBE611CB}">
      <text>
        <t>[Lõimkommentaar]
Teie Exceli versioon võimaldab teil seda lõimkommentaari lugeda, ent kõik sellesse tehtud muudatused eemaldatakse, kui fail avatakse Exceli uuemas versioonis. Lisateavet leiate siit: https://go.microsoft.com/fwlink/?linkid=870924.
Kommentaar:
    Tallinn: 0,51; Tartu 0,396; Otepää 0,2</t>
      </text>
    </comment>
    <comment ref="W12" authorId="3" shapeId="0" xr:uid="{B4B7D990-54CF-40B2-817C-FF5CC69A100E}">
      <text>
        <t>[Lõimkommentaar]
Teie Exceli versioon võimaldab teil seda lõimkommentaari lugeda, ent kõik sellesse tehtud muudatused eemaldatakse, kui fail avatakse Exceli uuemas versioonis. Lisateavet leiate siit: https://go.microsoft.com/fwlink/?linkid=870924.
Kommentaar:
    Tallinn 1,51; Tartu 1,43; Otepää 1,13</t>
      </text>
    </comment>
    <comment ref="O14" authorId="4" shapeId="0" xr:uid="{1E5CEAB2-6314-47DD-A289-0E1A4B711577}">
      <text>
        <t>[Lõimkommentaar]
Teie Exceli versioon võimaldab teil seda lõimkommentaari lugeda, ent kõik sellesse tehtud muudatused eemaldatakse, kui fail avatakse Exceli uuemas versioonis. Lisateavet leiate siit: https://go.microsoft.com/fwlink/?linkid=870924.
Kommentaar:
    Maksud / tööandja kulu</t>
      </text>
    </comment>
    <comment ref="V14" authorId="5" shapeId="0" xr:uid="{BADAAC5A-7E0A-4E78-8E04-C44C19DE4D3B}">
      <text>
        <t>[Lõimkommentaar]
Teie Exceli versioon võimaldab teil seda lõimkommentaari lugeda, ent kõik sellesse tehtud muudatused eemaldatakse, kui fail avatakse Exceli uuemas versioonis. Lisateavet leiate siit: https://go.microsoft.com/fwlink/?linkid=870924.
Kommentaar:
    KOV-ile kaekuvad maksud / tööandja kulu</t>
      </text>
    </comment>
    <comment ref="P16" authorId="6" shapeId="0" xr:uid="{F3455D17-FA57-45F8-A9C6-A3159DA685C0}">
      <text>
        <t>[Lõimkommentaar]
Teie Exceli versioon võimaldab teil seda lõimkommentaari lugeda, ent kõik sellesse tehtud muudatused eemaldatakse, kui fail avatakse Exceli uuemas versioonis. Lisateavet leiate siit: https://go.microsoft.com/fwlink/?linkid=870924.
Kommentaar:
    Eestisse jõudev palgasüst</t>
      </text>
    </comment>
    <comment ref="P25" authorId="7" shapeId="0" xr:uid="{207581D5-76A2-4606-8847-D4304A57DC15}">
      <text>
        <t>[Lõimkommentaar]
Teie Exceli versioon võimaldab teil seda lõimkommentaari lugeda, ent kõik sellesse tehtud muudatused eemaldatakse, kui fail avatakse Exceli uuemas versioonis. Lisateavet leiate siit: https://go.microsoft.com/fwlink/?linkid=870924.
Kommentaar:
    Eestisse jõudev palgasüst</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37256</author>
  </authors>
  <commentList>
    <comment ref="C10" authorId="0" shapeId="0" xr:uid="{38F2F6F4-A75C-4B8A-8C5C-A85C31A39D2B}">
      <text>
        <r>
          <rPr>
            <b/>
            <sz val="9"/>
            <color indexed="81"/>
            <rFont val="Tahoma"/>
            <family val="2"/>
          </rPr>
          <t>37256:</t>
        </r>
        <r>
          <rPr>
            <sz val="9"/>
            <color indexed="81"/>
            <rFont val="Tahoma"/>
            <family val="2"/>
          </rPr>
          <t xml:space="preserve">
Kui suur osa televaatajatest on potentsiaalsed külastajad?</t>
        </r>
      </text>
    </comment>
    <comment ref="M13" authorId="0" shapeId="0" xr:uid="{7000C5B2-EA1F-4F68-95BC-F9162AC01715}">
      <text>
        <r>
          <rPr>
            <b/>
            <sz val="9"/>
            <color indexed="81"/>
            <rFont val="Tahoma"/>
            <family val="2"/>
          </rPr>
          <t>37256:</t>
        </r>
        <r>
          <rPr>
            <sz val="9"/>
            <color indexed="81"/>
            <rFont val="Tahoma"/>
            <family val="2"/>
          </rPr>
          <t xml:space="preserve">
Ühe reklaamikliki hind</t>
        </r>
      </text>
    </comment>
    <comment ref="M17" authorId="0" shapeId="0" xr:uid="{65DDDC41-5B8D-4D90-9360-7C6BA141D367}">
      <text>
        <r>
          <rPr>
            <b/>
            <sz val="9"/>
            <color indexed="81"/>
            <rFont val="Tahoma"/>
            <family val="2"/>
          </rPr>
          <t>37256:</t>
        </r>
        <r>
          <rPr>
            <sz val="9"/>
            <color indexed="81"/>
            <rFont val="Tahoma"/>
            <family val="2"/>
          </rPr>
          <t xml:space="preserve">
Kui suur osa külastajatest jagab külastust sotsiaalmeedias</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37256</author>
  </authors>
  <commentList>
    <comment ref="K1" authorId="0" shapeId="0" xr:uid="{52D07A19-F1F3-427B-B04B-CEB9E6211699}">
      <text>
        <r>
          <rPr>
            <sz val="9"/>
            <color indexed="81"/>
            <rFont val="Tahoma"/>
            <family val="2"/>
          </rPr>
          <t>Kui suur osa vabatahtlikest on kohalikud elanikud</t>
        </r>
      </text>
    </comment>
  </commentList>
</comments>
</file>

<file path=xl/sharedStrings.xml><?xml version="1.0" encoding="utf-8"?>
<sst xmlns="http://schemas.openxmlformats.org/spreadsheetml/2006/main" count="684" uniqueCount="503">
  <si>
    <t xml:space="preserve">Mudeli otstarve
Mudel võimaldab analüüsida ühe konkreetse juba toimunud või kavandatava kultuuri- või spordisündmuse sotsiaal-majanduslikke mõjusid. Peamisteks sisenditeks on külastajate arv, sündmuse tüüp ja koht. Soovi korral võid sisestada sündmuse summaarse või detailse eelarve ja palju muud infot. Sisendi põhjal arvutab mudel sündmuse tulu Eestile ja sihtomavalitsusüksusele, sotsiaalsed ja kuvandi mõjud.
Kellele see mõeldud on?
- kultuuri- ja spordipoliitika kujundajad
- kohalike omavalitsuste esindajad, kes otsustavad sündmuste toetamise üle
- sündmuste korraldajad, keda huvitavad sotsiaal-majanduslikud mõjud
- sündmuste turundajad, kes soovivad verifitseerida sündmuse soodsaid mõjusid
- sündmuste potentsiaalsed spondeerijad ja toetajad
Kuidas mudelit kasutada?
Täida ära sinised lahtrid lehel "Sisend". Kanna sinna uuritava kultuuri- või spordisündmuse andmed, mis mõjutavad selle sotsiaal-majanduslike mõjude arvutusi. Tumesiniste lahtrite täitmine on kohustuslik, helesiniste täitmine soovitatav. Kui sisendlahtrid täidetud, näed sündmuse mõjusid lehel "Väljund". Asjatundlik kasutaja võib muuta mudeli parameetreid lehel "Parameetrid" või ka mudeli arvutusi tagumistel töölehtedel. 
Viide mudelile: Piirimäe, Kr., Niitra, B.R., Raun, M., Õunapuu, T., Argus, L., Tammesalu, M., Peetson, H.-G., Mikk, M., Uiboleht, M., Lauringson, D. 2024. Suurte kultuuri- ja spordisündmuste sotsiaal-majandusliku mõju mudel (SuMu). OÜ Roheline Rada, Levellab OÜ, Kultuurikõla OÜ. </t>
  </si>
  <si>
    <t>Lahtrite värvikoodid "Sisendi", "Väljundi" ja "Parameetrite" töölehtedel</t>
  </si>
  <si>
    <t>Sisendandmed</t>
  </si>
  <si>
    <t>Lihtpäringu sisendlahter - täitmine nõutav</t>
  </si>
  <si>
    <t>Sisendlahter - täitmine soovitatav</t>
  </si>
  <si>
    <t>Sisendlahter - täitmine soovitatav juhul kui kasutajal on täpsemad andmed</t>
  </si>
  <si>
    <t>Duubellahter - täitub automaatselt kasutaja sisestatud või mudeli poolt pakutavate andmetega</t>
  </si>
  <si>
    <t>Parameetrid</t>
  </si>
  <si>
    <t>Primaarne parameeter - asjatundlik kasutaja võib muuta</t>
  </si>
  <si>
    <t>Sekundaarne, võrrandiga varustatud lahter - asjatundlik kasutaja võib muuta</t>
  </si>
  <si>
    <t xml:space="preserve"> </t>
  </si>
  <si>
    <t>Rea või tulba nimetus</t>
  </si>
  <si>
    <t>Süsteemi poolt defineeritud nimetus</t>
  </si>
  <si>
    <t>Juhised ja selgitused</t>
  </si>
  <si>
    <t>Muutumatud juhised ja selgitused</t>
  </si>
  <si>
    <t>Kommentaarid, mis ilmuvad / muutuvad teatud tingimustel</t>
  </si>
  <si>
    <t>Hoiatusteade</t>
  </si>
  <si>
    <t>Väljund- ja vahenäitajad</t>
  </si>
  <si>
    <t>Arvutuste vahetulemus, mille kasutaja võib üle kirjutada</t>
  </si>
  <si>
    <t>Soodsat mõju näitav väljund</t>
  </si>
  <si>
    <t>Ebasoodsat mõju näitav väljund</t>
  </si>
  <si>
    <t xml:space="preserve">Sisendi täitmiseks on kaks võimalust: (1) ainult lihtpäring; (2) lihtpäring + detailne sisend. Detailse sisendi kõik lahtrid on mudeli poolt eeltäidetud hallides lahtrites. Kasutajal on soovitatav, kuid mitte nõutav detailse sisendi täitmine sinistes lahtrites, mispuhul mudel asendab valemid hallides lahtrites kasutajapoolse sisendiga.
Tumesiniste lahtrite täitmine on kohustuslik, helesiniste lahtrite täitmine soovitatav. Helekollaste lahtrite ülekirjutamine on lubatud. 
Kulude tabeli täitmisel võid piirduda vaid "Kulud kokku" reaga, kuid sellised juhul on mudeli väljund ebatäpsem. 
Hallid väljad dubleerivad helesiniseid välju. Hall väli pakub algul vaikimisi väärtuse, kasutaja saab selle sinisel väljal üle kirjutada
Täiendavaid instruktsioone vaata töölehelt "Juhend". </t>
  </si>
  <si>
    <t>LIHTPÄRING</t>
  </si>
  <si>
    <t>Sündmuse baasnäitajad: täida kõik tumesinised lahtrid, mudel neid ise ei prognoosi!</t>
  </si>
  <si>
    <t>Sündmuse nimetus</t>
  </si>
  <si>
    <t>Külastajate (sh osalejate) arv</t>
  </si>
  <si>
    <t>Sündmuse kestus, päeva</t>
  </si>
  <si>
    <t>Siia täisarv, vähemalt 1</t>
  </si>
  <si>
    <t>Sündmuse tüüp</t>
  </si>
  <si>
    <t>Sündmuse KOV</t>
  </si>
  <si>
    <t>Eelarves on vahendid sündmuse turundamiseks välismaal</t>
  </si>
  <si>
    <t>Otseülekannete geograafiline ulatus</t>
  </si>
  <si>
    <t>Kui laialdaselt tehakse sündmusest ametlikke teleülekandeid?</t>
  </si>
  <si>
    <t>Sündmuse toimumise kuu</t>
  </si>
  <si>
    <t>Millisel kuul toimub suurem osa sündmusest?</t>
  </si>
  <si>
    <t>Sündmuse toimumispaik</t>
  </si>
  <si>
    <t>Külastajate info: täida helesinised lahtrid kui sul on parem prognoos või  andmed kui mudelil</t>
  </si>
  <si>
    <t>Külastaja päritolu</t>
  </si>
  <si>
    <t>Osakaal, %</t>
  </si>
  <si>
    <t>Absoluutarv</t>
  </si>
  <si>
    <t>Öid Eestis, keskmiselt</t>
  </si>
  <si>
    <t>Öid sündmuse piirkonnas</t>
  </si>
  <si>
    <t>Väliskülastajad</t>
  </si>
  <si>
    <t>Sisekülastajad (teistest KOV-idest)</t>
  </si>
  <si>
    <t>Kohalikud (sama KOV-i) elanikud</t>
  </si>
  <si>
    <t>Kokku</t>
  </si>
  <si>
    <t>DETAILNE SISEND: ALLOLEVAID HELESINISEID LAHTREID ON SOOVITATAV (KUID MITTE NÕUTAV) ÜLE VAADATA JA TÄPSUSTADA</t>
  </si>
  <si>
    <t>Punasega on märgitud kõige tundlikum sisend!</t>
  </si>
  <si>
    <t>1. SÜNDMUSE EELARVE</t>
  </si>
  <si>
    <t>Tulud</t>
  </si>
  <si>
    <t>Kokku, koos maksudega</t>
  </si>
  <si>
    <t>Välismaa päritolu raha</t>
  </si>
  <si>
    <t>Eesti päritolu raha</t>
  </si>
  <si>
    <t>Sh kohalikku päritolu raha</t>
  </si>
  <si>
    <t>Sh muu Eesti raha</t>
  </si>
  <si>
    <t>Osalustasud, va piletitulu</t>
  </si>
  <si>
    <t>Piletitulu (publikult saadav)</t>
  </si>
  <si>
    <t>Muu müügitulu: meediatulu, meened jm</t>
  </si>
  <si>
    <t>Toetused ja sponsorrahad</t>
  </si>
  <si>
    <t>TULUD KOKKU</t>
  </si>
  <si>
    <t>Sh riigi toetus:</t>
  </si>
  <si>
    <t xml:space="preserve">Kulud  </t>
  </si>
  <si>
    <t>sh Eestis tehtavad kulud</t>
  </si>
  <si>
    <t>Kulud kokku</t>
  </si>
  <si>
    <t>Mudel ei prognoosi lihtpäringu põhjal alla 200 000 € sündmust</t>
  </si>
  <si>
    <t>Kuluread (täita andmete olemasolul)</t>
  </si>
  <si>
    <t>Kui kuluread on täidetud ja nende summad klapivad "KULUD KOKKU" reaga, siis on mudel täpsem</t>
  </si>
  <si>
    <t>Korraldajate ja osalejate transpordikulu</t>
  </si>
  <si>
    <t>Korraldajate ja osalejate majutuskulu</t>
  </si>
  <si>
    <t>Reklaami- ja turunduskulud</t>
  </si>
  <si>
    <t>Rahvusvaheliste tele- ja veebiülekannete kulud</t>
  </si>
  <si>
    <t>Tööjõukulud</t>
  </si>
  <si>
    <t>Oluline on näidata siin korraldaja poolt otse tehtavad, sotsiaalmakasuga maksustatavad kulud</t>
  </si>
  <si>
    <t>Muud kulud</t>
  </si>
  <si>
    <t>Eelnevatel ridadel kajastamata kulud</t>
  </si>
  <si>
    <t>2. SOTSIAALMOODULI SISENDNÄITAJAD</t>
  </si>
  <si>
    <t>Kohalikele loodavad töökohad (täistööpäevad)</t>
  </si>
  <si>
    <t>Mitte ainult otseselt korraldaja poolt, vaid ka teiste osapoolte loodavad töökohad</t>
  </si>
  <si>
    <t>Kohalikest vabatahtlike arv</t>
  </si>
  <si>
    <t>Nii korraldaja kui ka muude organisatsioonide juures sündmuse tõttu töötavad vabatahtlikud</t>
  </si>
  <si>
    <t>3. KUVANDIMOODULI SISENDNÄITAJAD</t>
  </si>
  <si>
    <t>Sündmuse levik meedias</t>
  </si>
  <si>
    <t>Sündmuse levik sotsiaalmeedias</t>
  </si>
  <si>
    <t>Välismaal sündmuse turundusse suunatud raha</t>
  </si>
  <si>
    <t>Eestis sündmuse turundusse suunatud raha</t>
  </si>
  <si>
    <t>Otseülekannete vaatajaskonna prognoos</t>
  </si>
  <si>
    <t>Teleülekanded, ametlikud ülekanded veebis (sh Youtube, aga mitte muu sotsiaalmeedia)</t>
  </si>
  <si>
    <t>Sündmuse kanali jälgijaskond sotsiaalmeedias</t>
  </si>
  <si>
    <t>Sündmuse või korraldaja kodulehel esitletud sotsiaalmeedia platvormid</t>
  </si>
  <si>
    <t>Esinejate/võistlejate jälgijaskond sotsiaalmeedias</t>
  </si>
  <si>
    <t>Sündmuse meediapartnerid</t>
  </si>
  <si>
    <t>NB! Selle lehe lahtreid ei saa kasutaja muuta. 
Tulu tähendab vaikimisi tulu leibkondadele. Muudel juhtudel viidatakse maksutulule
Vaata ka selgitavaid jooniseid selle lehe paremas servas</t>
  </si>
  <si>
    <t>KOKKUVÕTLIK HINNANG</t>
  </si>
  <si>
    <t>Koondhinnangu skaala</t>
  </si>
  <si>
    <t>Hinne</t>
  </si>
  <si>
    <t>Sotsiaal-majandusliku mõju koondhinnang</t>
  </si>
  <si>
    <t>Suur soodne mõju</t>
  </si>
  <si>
    <t>(alumine piir)</t>
  </si>
  <si>
    <t>Üks Eesti poolt sündmusse pandud € toob Eestile:</t>
  </si>
  <si>
    <t>Oluline soodne mõju</t>
  </si>
  <si>
    <t>Sotsiaalne mõju</t>
  </si>
  <si>
    <t>Mõõdukas soodne mõju</t>
  </si>
  <si>
    <t>Nõrk soodne mõju</t>
  </si>
  <si>
    <t>(ülemine piir)</t>
  </si>
  <si>
    <t>Ebasoodne mõju</t>
  </si>
  <si>
    <t>1. MAJANDUSMOODULI VÄLJUND</t>
  </si>
  <si>
    <t>Majandusmooduli väljundnäitajatest puudub ajafaktor, sest kirjedatakse sündmuse tulu ja tasuvust, sõltumata sellest, millal need tekkisid</t>
  </si>
  <si>
    <t>1.1. MAJANDUSLIK MÕJU</t>
  </si>
  <si>
    <t>Sündmuse enda lühiajaline tulu</t>
  </si>
  <si>
    <t>Kuvandi pikaajalise mõju tulu</t>
  </si>
  <si>
    <t>Kogutulu koos kuvandi pikaajalise mõjuga</t>
  </si>
  <si>
    <t>NB! Kuvandi mõju rahaline hinnang on suure määramatusega</t>
  </si>
  <si>
    <t>Tulu Eestile välisrahast</t>
  </si>
  <si>
    <t>Tulu, mis jõuab välismaalt Eesti elanikele kas otse korraldajalt, läbi ettevõtluse või ringiga läbi elanike majapidamiste</t>
  </si>
  <si>
    <t>Esmane tulu Eestile</t>
  </si>
  <si>
    <t>Tulu, mis jõuab Eesti elanikele kas otse korraldajalt või läbi ettevõtluse</t>
  </si>
  <si>
    <t>Otsene tulu Eestile</t>
  </si>
  <si>
    <t>Töötasu, mis jõuab otse sündmuse korraldajalt Eesti elanikele (leibkondadele)</t>
  </si>
  <si>
    <t>Kaudne tulu Eestile</t>
  </si>
  <si>
    <t>Ettevõtluse kaudu tekkiv tulu Eesti elanikele</t>
  </si>
  <si>
    <t>Esmane maksu- ja aktsiisitulu Eestile</t>
  </si>
  <si>
    <t>Maksutulu korraldajalt ning sündmusega seotud ettevõtetelt</t>
  </si>
  <si>
    <t>Esilekutsutud tulu Eestile</t>
  </si>
  <si>
    <t>Tulu, mis jõuab Eesti elanikele ringiga läbi elanike majapidamiste</t>
  </si>
  <si>
    <t>Kadu Eestist</t>
  </si>
  <si>
    <t>Eestist välja liikuv raha (miinusmärgiga)</t>
  </si>
  <si>
    <t>Kohalik tulu välismaalt ja mujalt Eestist</t>
  </si>
  <si>
    <t>Tulu, mis jõuab teistest piirkondadest kohalikele elanikele kas otse, läbi ettevõtluse või läbi elanike majapidamiste</t>
  </si>
  <si>
    <t>Esmane kohalik tulu</t>
  </si>
  <si>
    <t>Tulu, mis jõuab omavalitsusüksuse elanikele kas otse korraldajalt või läbi ettevõtluse</t>
  </si>
  <si>
    <t>Otsene kohalik tulu</t>
  </si>
  <si>
    <t>Töötasu, mis jõuab korraldajalt otse sündmuse toimumise omavalitsusüksuse elanikele</t>
  </si>
  <si>
    <t>Kaudne kohalik tulu</t>
  </si>
  <si>
    <t>Ettevõtluse kaudu tekkiv tulu omavalitsusüksuse elanikele</t>
  </si>
  <si>
    <t>Otsene kohalik maksutulu</t>
  </si>
  <si>
    <t>KOV-ile laekuv üksikisiku tulumaks korraldaja palgakulult</t>
  </si>
  <si>
    <t>Esilekutsutud kohalik tulu</t>
  </si>
  <si>
    <t>Tulu, mis jõuab omavalitsusüksuse elanikele ringiga läbi elanike majapidamiste</t>
  </si>
  <si>
    <t>Kohalik kadu</t>
  </si>
  <si>
    <t>KOV-ist välja liikuv raha (miinusmärgiga)</t>
  </si>
  <si>
    <t>1.2. TASUVUS</t>
  </si>
  <si>
    <t xml:space="preserve"> Eesti jaoks</t>
  </si>
  <si>
    <t>Kohaliku omavalitsusüksuse jaoks</t>
  </si>
  <si>
    <t>Eesti toetajate jaoks</t>
  </si>
  <si>
    <t>KOV toetuse jaoks</t>
  </si>
  <si>
    <t>Tasuvus eesti jaoks = kaubandusbilanss Eesti jaoks / Eesti kulud (sh piletiostjad)
Kohalik tasuvus = kaubandusbilanss omavalitsusüksuse jaoks / kohalikud kulud, sh piletiostjad
Tasuvus Eesti toetajate jaoks = kaubandusbilanss Eesti jaoks / siseriiklikud toetused
KOV toetuse tasuvus = kaubandusbilanss omavalitsusüksuse jaoks  / KOV toetus
Kaubandusbilanss = sihtpiirkonda tulev raha - sihtpiirkonnast välja liikuv raha</t>
  </si>
  <si>
    <t>Sündmuse tasuvus (kaubandusbilanns/investeering)</t>
  </si>
  <si>
    <t xml:space="preserve">Kaubandusbilanss </t>
  </si>
  <si>
    <t>Tasuvus koos kuvandi mõjuga</t>
  </si>
  <si>
    <t>Üks sündmusse pandud euro toob tagasi:</t>
  </si>
  <si>
    <t>Bilanss riigieelarve jaoks (esmane tulu - kulu)</t>
  </si>
  <si>
    <t xml:space="preserve">Bilanss riigieelarve jaoks on siin konservatiivne, arvestamata ei esilekutsutud ega kuvandi tulu </t>
  </si>
  <si>
    <t xml:space="preserve">Sündmust võiks lugeda tasuvaks, kui selle tasuvus on üle 0%. </t>
  </si>
  <si>
    <t>Kui sündmust ei toetata, pole võimalik selle tasuvust arvutada</t>
  </si>
  <si>
    <t>2. SOTSIAALMOODULI VÄLJUND</t>
  </si>
  <si>
    <t>Väärtused -1 kuni +5.</t>
  </si>
  <si>
    <t>Mõju kohalikule kogukonnale</t>
  </si>
  <si>
    <t>3. KUVANDIMOODULI VÄLJUND</t>
  </si>
  <si>
    <t>Väärtused 0 kuni 5.</t>
  </si>
  <si>
    <t>Kuvandi väljundnäitajad</t>
  </si>
  <si>
    <t>Mõju Eesti kuvandile</t>
  </si>
  <si>
    <t>Mõju KOV-i kuvandile</t>
  </si>
  <si>
    <t>Mõju Eesti külastatavusele</t>
  </si>
  <si>
    <t>Mõju KOV-i külastatavusele</t>
  </si>
  <si>
    <t>Sündmuse mõjust tulenev pikaajaline rahasüst Eestisse</t>
  </si>
  <si>
    <t>Pikaajaline tulu, mis eeldab, et tänu paranenud kuvandile tuleb Eestisse rohkem väliskülastajaid</t>
  </si>
  <si>
    <t>Sh maksud</t>
  </si>
  <si>
    <t>Kuvandi mõjul saabuvate väliskülastajatelt saadav maksutulu</t>
  </si>
  <si>
    <t>Sündmuse mõjust tulenev pikaajaline rahasüst KOV-i</t>
  </si>
  <si>
    <t>Pikaajaline tulu, mis eeldab, et tänu paranenud kuvandile tuleb omavalitsusse rohkem väliskülastjaid</t>
  </si>
  <si>
    <t>Edasijõudnud kasutajal on võimalik parameetrite väärtusi muuta. Selle tulemusena muutub mudeli väljund.</t>
  </si>
  <si>
    <t>MAJANDUSPARAMEETRID</t>
  </si>
  <si>
    <t>Majanduskordajad</t>
  </si>
  <si>
    <t>Ettevõtluskordaja</t>
  </si>
  <si>
    <t>Majapidamiskordaja</t>
  </si>
  <si>
    <t>Külastaja päevane kulu</t>
  </si>
  <si>
    <t>Väliskülastaja</t>
  </si>
  <si>
    <t>Sisekülastaja</t>
  </si>
  <si>
    <t>Eesti</t>
  </si>
  <si>
    <t>Toitlustus (restoranid, kohvikud, jms)</t>
  </si>
  <si>
    <t>Omavalitsusüksuse suurusklass</t>
  </si>
  <si>
    <t>Toidu ja jookide ost</t>
  </si>
  <si>
    <t>1 Elanikke üle 200 000 (Tallinn)</t>
  </si>
  <si>
    <t>Muude kaupade ost</t>
  </si>
  <si>
    <t>2 Elanikke 100 000 - 200 000 (Tartu)</t>
  </si>
  <si>
    <t>Majutus (hotellid, motellid, jms)</t>
  </si>
  <si>
    <t>3 Elanikke alla 100 000 (kõik muud)</t>
  </si>
  <si>
    <t>Ühistransport</t>
  </si>
  <si>
    <t>Maksumäärad</t>
  </si>
  <si>
    <t>Transport (autorent, mootorikütus, parkimine, jms)</t>
  </si>
  <si>
    <t>Standardne käibemaksu määr:</t>
  </si>
  <si>
    <t>Meelelahutus (sh kultuuriüritused)</t>
  </si>
  <si>
    <t>Korraldaja tulud</t>
  </si>
  <si>
    <t>Tüübi kood</t>
  </si>
  <si>
    <t>Piletitulu külastaja kohta</t>
  </si>
  <si>
    <t>Osalustasu külastaja kohta</t>
  </si>
  <si>
    <t>Muu müük külastaja kohta</t>
  </si>
  <si>
    <t>Majutuse käibemaksumäär:</t>
  </si>
  <si>
    <t>Kokku ilma pääsmeta</t>
  </si>
  <si>
    <t>Kultuurisündmus</t>
  </si>
  <si>
    <t>RV transpordi käibemaksu määr:</t>
  </si>
  <si>
    <t>Osaluspõhine spordisündmus</t>
  </si>
  <si>
    <t>Tööjõumaksude määr:</t>
  </si>
  <si>
    <t>Maksud / tööandja kulu</t>
  </si>
  <si>
    <t>Korraldaja meediatulu</t>
  </si>
  <si>
    <t>Vaatajate arv</t>
  </si>
  <si>
    <t>Vaatajakeskne spordisündmus</t>
  </si>
  <si>
    <t>KOV-ile laekuva tööjõumaksu määr</t>
  </si>
  <si>
    <t>Teleülekanne puudub</t>
  </si>
  <si>
    <t>Alla 10 000</t>
  </si>
  <si>
    <t>Keskmine esmase tulu maksumäär</t>
  </si>
  <si>
    <t>Sündmuse tõttu piirkonnas viibivate sisekül osakaal kõigist sisekülastajaist</t>
  </si>
  <si>
    <t>Kohaliku tähtsusega</t>
  </si>
  <si>
    <t>Keskmine tööjõukulu tööpäeva kohta</t>
  </si>
  <si>
    <t>Sündm tõttu piirk viibivate väliskül osakaal kõigist väliskülastajaist</t>
  </si>
  <si>
    <t>Üle-eestilise tähtsusega</t>
  </si>
  <si>
    <t>Üle 10 000</t>
  </si>
  <si>
    <t>Sündmuse tüübi kood</t>
  </si>
  <si>
    <t>Rahvusvahelisuse määr</t>
  </si>
  <si>
    <t>Oluline ühes sihtriigis</t>
  </si>
  <si>
    <t>Üle 50 000</t>
  </si>
  <si>
    <t>Sisesaatjate osakaal suhtena sisekülastajate arvuga</t>
  </si>
  <si>
    <t>Oluline mitmes sihtriigis</t>
  </si>
  <si>
    <t>Üle 100 000</t>
  </si>
  <si>
    <t>Välissaatjate osakaal suhtena väliskülastajate arvuga</t>
  </si>
  <si>
    <t>Oluline Läänemere regioonis</t>
  </si>
  <si>
    <t>Üle 1 000 000</t>
  </si>
  <si>
    <t>Üle-Euroopalise tähtsusega</t>
  </si>
  <si>
    <t>Üle 10 000 000</t>
  </si>
  <si>
    <t>Ülemaailmse tähtsusega</t>
  </si>
  <si>
    <t>MUUD PARAMEETRID</t>
  </si>
  <si>
    <t>Sündmuse meediatulu</t>
  </si>
  <si>
    <t>Kuu</t>
  </si>
  <si>
    <t>Kõrg- või madalsesoon</t>
  </si>
  <si>
    <t>Sesooni aste</t>
  </si>
  <si>
    <t>Tüüp</t>
  </si>
  <si>
    <t>Seotus kohaga</t>
  </si>
  <si>
    <t>Mõju turvalisusele</t>
  </si>
  <si>
    <t>Indikaator</t>
  </si>
  <si>
    <t>Ürituse levik välismeedias</t>
  </si>
  <si>
    <t>Jaanuar</t>
  </si>
  <si>
    <t>M</t>
  </si>
  <si>
    <t>Ürituse levik sotsiaalmeedias </t>
  </si>
  <si>
    <t>Veebruar</t>
  </si>
  <si>
    <t>Ülekannete geograafiline ulatus</t>
  </si>
  <si>
    <t>Märts</t>
  </si>
  <si>
    <t>Kohaliku kultuuri levitamine</t>
  </si>
  <si>
    <t>Aprill</t>
  </si>
  <si>
    <t>Esinejate sots meedia kordaja</t>
  </si>
  <si>
    <t>Jah</t>
  </si>
  <si>
    <t>Mai</t>
  </si>
  <si>
    <t>Ei</t>
  </si>
  <si>
    <t>Juuni</t>
  </si>
  <si>
    <t>K</t>
  </si>
  <si>
    <t>Levik (Eesti)</t>
  </si>
  <si>
    <t>Külastajad</t>
  </si>
  <si>
    <t>Sotsiaalmeedia</t>
  </si>
  <si>
    <t>Meedia</t>
  </si>
  <si>
    <t>Ülekanded</t>
  </si>
  <si>
    <t>KOV-is elanikke</t>
  </si>
  <si>
    <t>Jah/Ei</t>
  </si>
  <si>
    <t>Juuli</t>
  </si>
  <si>
    <t>August</t>
  </si>
  <si>
    <t>September</t>
  </si>
  <si>
    <t>Väliskülastajad + turundus</t>
  </si>
  <si>
    <t>Oktoober</t>
  </si>
  <si>
    <t>November</t>
  </si>
  <si>
    <t>Detsember</t>
  </si>
  <si>
    <t>Kas eelarves on vahendid sündmuse turundamiseks välismaal?</t>
  </si>
  <si>
    <t>Sündmuse sesoon</t>
  </si>
  <si>
    <t>Levik (KOV)</t>
  </si>
  <si>
    <t>Kanali jälgijaskond</t>
  </si>
  <si>
    <t>Esinejate jälgijaskond</t>
  </si>
  <si>
    <t>Sotsiaalsed väljundnäitajad</t>
  </si>
  <si>
    <t>Oluline mõju puudub</t>
  </si>
  <si>
    <t>Väga nõrk soodne mõju</t>
  </si>
  <si>
    <t>Sündmuse tüübi kordaja</t>
  </si>
  <si>
    <t>KOV</t>
  </si>
  <si>
    <t>Ülekande vaatajaid väliskülastaja kohta</t>
  </si>
  <si>
    <t>Turundusse suunatud raha</t>
  </si>
  <si>
    <t>Parameeter</t>
  </si>
  <si>
    <t>Üle-Eestilise tähtsusega</t>
  </si>
  <si>
    <t>Puuduvad</t>
  </si>
  <si>
    <t>Eestisisesed</t>
  </si>
  <si>
    <t>Rahvusvahelised (sh Eestisisesed)</t>
  </si>
  <si>
    <t>Jälgijaskond</t>
  </si>
  <si>
    <t>Staadion</t>
  </si>
  <si>
    <t>Spordi- või kontserthall</t>
  </si>
  <si>
    <t>Maastik</t>
  </si>
  <si>
    <t>Avatud linnaruum</t>
  </si>
  <si>
    <t>Suletud linnaruum, nt lauluväljak</t>
  </si>
  <si>
    <t>Korraldaja rahasüst</t>
  </si>
  <si>
    <t>Korraldaja kulu</t>
  </si>
  <si>
    <t>Välismaalt pärinev raha</t>
  </si>
  <si>
    <t>Välismaalt Eestisse liikuv raha</t>
  </si>
  <si>
    <t>sh välismaa rahadest esmane maksutulu Eestile</t>
  </si>
  <si>
    <t>Kohalike kulude osakaal Eestis tehtavatest kuludest</t>
  </si>
  <si>
    <t>Kohalik välismaine rahasüst</t>
  </si>
  <si>
    <t>Kohalik kodumaine rahasüst</t>
  </si>
  <si>
    <t>Eestisse jõudev kaupade, teenuste ja investeeringute süst</t>
  </si>
  <si>
    <t>Tulu Eestile</t>
  </si>
  <si>
    <t>Esmane maksutulu Eestile</t>
  </si>
  <si>
    <t>Kohalik kaupade, teenuste ja investeeringute süst</t>
  </si>
  <si>
    <t>Kohalik tulu</t>
  </si>
  <si>
    <t>KOKKU LÄBI KORRALDAJA</t>
  </si>
  <si>
    <t xml:space="preserve">Sündmuse tõttu piirkonnas viibivad inimesed </t>
  </si>
  <si>
    <t>Kõik kokku</t>
  </si>
  <si>
    <t>Kohalikud</t>
  </si>
  <si>
    <t>Mujalt Eestist</t>
  </si>
  <si>
    <t>Välisriikidest</t>
  </si>
  <si>
    <t>Sündm kestus, p</t>
  </si>
  <si>
    <t>Eestist välismaale liikuv raha</t>
  </si>
  <si>
    <t>KOV-ist välismaale liikuv raha</t>
  </si>
  <si>
    <t>KOV-ist mujale Eestisse raha</t>
  </si>
  <si>
    <t>KOV-ist ära liikuv raha</t>
  </si>
  <si>
    <t>LÄBI KORRALDAJA</t>
  </si>
  <si>
    <t>Omavalitsusüksuse suurusklass:</t>
  </si>
  <si>
    <t>Sündmuse külastajad (sh osalejad) kokku</t>
  </si>
  <si>
    <t>Kütuseaktsiisi osakaal kütusekulust</t>
  </si>
  <si>
    <t>Kohalik ettevõtluskordaja:</t>
  </si>
  <si>
    <t>Nendest sündmuse tõttu piirkonnas viibivad</t>
  </si>
  <si>
    <t>Aktsiiside osakaal toitlustuse kulust</t>
  </si>
  <si>
    <t>Kohalik majapidamiskordaja:</t>
  </si>
  <si>
    <t>Saatjad, kes ei külasta üritust</t>
  </si>
  <si>
    <t>Kulude arvutamise alus (1 - ridade kaupa; 2 - summa)</t>
  </si>
  <si>
    <t>Tööjõumaksude määr</t>
  </si>
  <si>
    <t>Eesti ettevõtluskordaja:</t>
  </si>
  <si>
    <t>KOV-ile laekuva tööjõumaksu määr:</t>
  </si>
  <si>
    <t>Eesti majapidamiskordaja:</t>
  </si>
  <si>
    <t>Külastajate rahasüst</t>
  </si>
  <si>
    <t>Väliskülastajate rahasüst Eestisse</t>
  </si>
  <si>
    <t>Väliskülastajate kohalike kulude osakaal</t>
  </si>
  <si>
    <t>Väliskülastajate kohalik rahasüst</t>
  </si>
  <si>
    <t>Sisekülastajate kohalik rahasüst</t>
  </si>
  <si>
    <t>KOKKU LÄBI KÜLASTAJATE</t>
  </si>
  <si>
    <t>MAJANDUSMOODULI VÄLJUND</t>
  </si>
  <si>
    <t xml:space="preserve">Sündmuse tulu </t>
  </si>
  <si>
    <t>Sisendnäitajad</t>
  </si>
  <si>
    <t>Eesti kuvand</t>
  </si>
  <si>
    <t>Näost-näkku</t>
  </si>
  <si>
    <t>Reklaam</t>
  </si>
  <si>
    <t>KOKKU</t>
  </si>
  <si>
    <t>Vahenäitajad</t>
  </si>
  <si>
    <t>Külastajate arv</t>
  </si>
  <si>
    <t>Külastused</t>
  </si>
  <si>
    <t>Sündmuse tõttu saabunud väliskülastajate arv</t>
  </si>
  <si>
    <t>Väliskülastajate arv</t>
  </si>
  <si>
    <t>Soovitamine</t>
  </si>
  <si>
    <t>Sündmuse tõttu saabunud sisekülastajate arv</t>
  </si>
  <si>
    <t>Siseturistide arv</t>
  </si>
  <si>
    <t>Osakaal</t>
  </si>
  <si>
    <t>KOV-i elanike arv</t>
  </si>
  <si>
    <t>Esinejad</t>
  </si>
  <si>
    <t>Korduvkülastuse kavatsusega külastajate arv</t>
  </si>
  <si>
    <t>Sündmus</t>
  </si>
  <si>
    <t>Esmakordselt Eestit külastas</t>
  </si>
  <si>
    <t>Kordaja</t>
  </si>
  <si>
    <t>Sündmuse levik sotsiaalmeedias </t>
  </si>
  <si>
    <t>Osakaal eelarvest</t>
  </si>
  <si>
    <t>Meediapartnerid</t>
  </si>
  <si>
    <t>1-2 korda Eestit külastanud</t>
  </si>
  <si>
    <t>Levik meedias</t>
  </si>
  <si>
    <t>Külastamismäär</t>
  </si>
  <si>
    <t>Näost-näkku levik</t>
  </si>
  <si>
    <t>Ülekannete vaatajaskonna prognoos välismaal</t>
  </si>
  <si>
    <t>Koond</t>
  </si>
  <si>
    <t>Sündmuse kanali jälgijaskond sotsiaalmeedia platvormidel</t>
  </si>
  <si>
    <t>Maksimaalne</t>
  </si>
  <si>
    <t>Sündmuse esinejate/võistlejate jälgijaskond sotsiaalmeedias</t>
  </si>
  <si>
    <t>CPC</t>
  </si>
  <si>
    <t>Sündmust turundatakse välismaal</t>
  </si>
  <si>
    <t>KOV-i kuvand</t>
  </si>
  <si>
    <t>Klikke välismaal</t>
  </si>
  <si>
    <t>Klikke Eestis</t>
  </si>
  <si>
    <t>Jagab sotsiaalmeedias</t>
  </si>
  <si>
    <t>Väljundnäitajad (skaalal 0 kuni +5)</t>
  </si>
  <si>
    <t>Kuvandi mõjutajad</t>
  </si>
  <si>
    <t>Külastatavus</t>
  </si>
  <si>
    <t>Külastab uuesti</t>
  </si>
  <si>
    <t>Soovituste mõju</t>
  </si>
  <si>
    <t>Rahaline</t>
  </si>
  <si>
    <t>sh maksud</t>
  </si>
  <si>
    <t>Sisendnäitaja</t>
  </si>
  <si>
    <t>Väärtus</t>
  </si>
  <si>
    <t>Elukvaliteet</t>
  </si>
  <si>
    <t>Sotsiaalne kapital</t>
  </si>
  <si>
    <t>Uhkus</t>
  </si>
  <si>
    <t>Tunnetus</t>
  </si>
  <si>
    <t>Arendamine</t>
  </si>
  <si>
    <t xml:space="preserve">Vabatahtlike kordaja </t>
  </si>
  <si>
    <t>Külastajate + osalejate arv</t>
  </si>
  <si>
    <t>Tööhõive</t>
  </si>
  <si>
    <t>Töötajate kordaja</t>
  </si>
  <si>
    <t>Turistide arv (väljastpoolt KOV-i)</t>
  </si>
  <si>
    <t>Turvalisus</t>
  </si>
  <si>
    <t>Kohalikest elanikest külastajate + osalejate arv</t>
  </si>
  <si>
    <t>Tervis</t>
  </si>
  <si>
    <t xml:space="preserve">Sündmuse tüüp </t>
  </si>
  <si>
    <t>Külastajad ja kohalikud</t>
  </si>
  <si>
    <t>Omavalitsuses elanikke</t>
  </si>
  <si>
    <t>Kohalike uhkus</t>
  </si>
  <si>
    <t>Ühtekuuluvus</t>
  </si>
  <si>
    <t>Vaba aja veetmine</t>
  </si>
  <si>
    <t>Väljundnäitaja</t>
  </si>
  <si>
    <t>Vabatahtlikud</t>
  </si>
  <si>
    <t>Vabatahtlikke kokku (lihtpäring)</t>
  </si>
  <si>
    <t>Mõju kohalikule kogukonnale (0 kuni +20)</t>
  </si>
  <si>
    <t>Mõju skaalal -1 kuni +5</t>
  </si>
  <si>
    <t xml:space="preserve">RV0282U: RAHVASTIK, 1. JAANUAR | </t>
  </si>
  <si>
    <t>2023</t>
  </si>
  <si>
    <t>Alutaguse vald</t>
  </si>
  <si>
    <t>Valik</t>
  </si>
  <si>
    <t>Anija vald</t>
  </si>
  <si>
    <t>Antsla vald</t>
  </si>
  <si>
    <t>Elva vald</t>
  </si>
  <si>
    <t>Häädemeeste vald</t>
  </si>
  <si>
    <t>Haapsalu linn</t>
  </si>
  <si>
    <t>Haljala vald</t>
  </si>
  <si>
    <t>Harku vald</t>
  </si>
  <si>
    <t>Hiiumaa vald</t>
  </si>
  <si>
    <t>Järva vald</t>
  </si>
  <si>
    <t>Jõelähtme vald</t>
  </si>
  <si>
    <t>Jõgeva vald</t>
  </si>
  <si>
    <t>Jõhvi vald</t>
  </si>
  <si>
    <t>Kadrina vald</t>
  </si>
  <si>
    <t>Kambja vald</t>
  </si>
  <si>
    <t>Kanepi vald</t>
  </si>
  <si>
    <t>Kastre vald</t>
  </si>
  <si>
    <t>Kehtna vald</t>
  </si>
  <si>
    <t>Keila linn</t>
  </si>
  <si>
    <t>Kihnu vald</t>
  </si>
  <si>
    <t>Kiili vald</t>
  </si>
  <si>
    <t>Kohila vald</t>
  </si>
  <si>
    <t>Kohtla-Järve linn</t>
  </si>
  <si>
    <t>Kose vald</t>
  </si>
  <si>
    <t>Kuusalu vald</t>
  </si>
  <si>
    <t>Lääne-Harju vald</t>
  </si>
  <si>
    <t>Lääne-Nigula vald</t>
  </si>
  <si>
    <t>Lääneranna vald</t>
  </si>
  <si>
    <t>Loksa linn</t>
  </si>
  <si>
    <t>Lüganuse vald</t>
  </si>
  <si>
    <t>Luunja vald</t>
  </si>
  <si>
    <t>Maardu linn</t>
  </si>
  <si>
    <t>Märjamaa vald</t>
  </si>
  <si>
    <t>Muhu vald</t>
  </si>
  <si>
    <t>Mulgi vald</t>
  </si>
  <si>
    <t>Mustvee vald</t>
  </si>
  <si>
    <t>Narva linn</t>
  </si>
  <si>
    <t>Narva-Jõesuu linn</t>
  </si>
  <si>
    <t>Nõo vald</t>
  </si>
  <si>
    <t>Otepää vald</t>
  </si>
  <si>
    <t>Paide linn</t>
  </si>
  <si>
    <t>Pärnu linn</t>
  </si>
  <si>
    <t>Peipsiääre vald</t>
  </si>
  <si>
    <t>Põhja-Pärnumaa vald</t>
  </si>
  <si>
    <t>Põhja-Sakala vald</t>
  </si>
  <si>
    <t>Põltsamaa vald</t>
  </si>
  <si>
    <t>Põlva vald</t>
  </si>
  <si>
    <t>Raasiku vald</t>
  </si>
  <si>
    <t>Rae vald</t>
  </si>
  <si>
    <t>Rakvere linn</t>
  </si>
  <si>
    <t>Rakvere vald</t>
  </si>
  <si>
    <t>Räpina vald</t>
  </si>
  <si>
    <t>Rapla vald</t>
  </si>
  <si>
    <t>Rõuge vald</t>
  </si>
  <si>
    <t>Ruhnu vald</t>
  </si>
  <si>
    <t>Saarde vald</t>
  </si>
  <si>
    <t>Saaremaa vald</t>
  </si>
  <si>
    <t>Saku vald</t>
  </si>
  <si>
    <t>Saue vald</t>
  </si>
  <si>
    <t>Setomaa vald</t>
  </si>
  <si>
    <t>Sillamäe linn</t>
  </si>
  <si>
    <t>Tallinn</t>
  </si>
  <si>
    <t>Tapa vald</t>
  </si>
  <si>
    <t>Tartu linn</t>
  </si>
  <si>
    <t>Tartu vald</t>
  </si>
  <si>
    <t>Toila vald</t>
  </si>
  <si>
    <t>Tori vald</t>
  </si>
  <si>
    <t>Tõrva vald</t>
  </si>
  <si>
    <t>Türi vald</t>
  </si>
  <si>
    <t>Väike-Maarja vald</t>
  </si>
  <si>
    <t>Valga vald</t>
  </si>
  <si>
    <t>Viimsi vald</t>
  </si>
  <si>
    <t>Viljandi linn</t>
  </si>
  <si>
    <t>Viljandi vald</t>
  </si>
  <si>
    <t>Vinni vald</t>
  </si>
  <si>
    <t>Viru-Nigula vald</t>
  </si>
  <si>
    <t>Vormsi vald</t>
  </si>
  <si>
    <t>Võru linn</t>
  </si>
  <si>
    <t>Võru vald</t>
  </si>
  <si>
    <t>Muu piirkond</t>
  </si>
  <si>
    <t>Sisemine referentskood:</t>
  </si>
  <si>
    <t>RV0282U</t>
  </si>
  <si>
    <t>{"hash":"bae413bf01b04e52374bc1934036efcd2926cc8952e2db36b1350159246ab98b","version":1,"value":"[[\"Vabandust, kuid ma ei saa teie küsimusest aru. Kas saaksite seda täpsustada või esitada teise küsimuse?\"]]"}</t>
  </si>
  <si>
    <t>{"hash":"2ea66b905628a14241bbd2743563b5958cde7476bd5862c2a90989f6e7195991","version":1,"value":"[[\"Hello! How are you today?\"]]"}</t>
  </si>
  <si>
    <t>Nimetu</t>
  </si>
  <si>
    <t>Mõju hooajalisusele</t>
  </si>
  <si>
    <t>Täpsus ja tööpiirkond</t>
  </si>
  <si>
    <t>Allikas: Suurte Kultuuri- ja Spordisündmuste Sotsiaal-majandusliku Mõju Mudeli (SuMu) manuaal</t>
  </si>
  <si>
    <r>
      <rPr>
        <b/>
        <sz val="18"/>
        <color theme="1"/>
        <rFont val="Calibri"/>
        <family val="2"/>
        <charset val="186"/>
        <scheme val="minor"/>
      </rPr>
      <t>Hange</t>
    </r>
    <r>
      <rPr>
        <sz val="18"/>
        <color theme="1"/>
        <rFont val="Calibri"/>
        <family val="2"/>
        <charset val="186"/>
        <scheme val="minor"/>
      </rPr>
      <t xml:space="preserve">: </t>
    </r>
    <r>
      <rPr>
        <b/>
        <sz val="18"/>
        <color rgb="FFFF0000"/>
        <rFont val="Calibri"/>
        <family val="2"/>
        <charset val="186"/>
        <scheme val="minor"/>
      </rPr>
      <t>Metoodika</t>
    </r>
    <r>
      <rPr>
        <sz val="18"/>
        <color theme="1"/>
        <rFont val="Calibri"/>
        <family val="2"/>
        <charset val="186"/>
        <scheme val="minor"/>
      </rPr>
      <t xml:space="preserve"> väljatöötamine </t>
    </r>
    <r>
      <rPr>
        <b/>
        <sz val="18"/>
        <color rgb="FFFF0000"/>
        <rFont val="Calibri"/>
        <family val="2"/>
        <charset val="186"/>
        <scheme val="minor"/>
      </rPr>
      <t>rahvusvahelistelt</t>
    </r>
    <r>
      <rPr>
        <sz val="18"/>
        <color theme="1"/>
        <rFont val="Calibri"/>
        <family val="2"/>
        <charset val="186"/>
        <scheme val="minor"/>
      </rPr>
      <t xml:space="preserve"> huvipakkuvate kultuuri- ja spordisündmuste otsese ja kaudse sotsiaal-majandusliku mõju hindamiseks</t>
    </r>
  </si>
  <si>
    <r>
      <rPr>
        <b/>
        <sz val="18"/>
        <color theme="1"/>
        <rFont val="Calibri"/>
        <family val="2"/>
        <charset val="186"/>
        <scheme val="minor"/>
      </rPr>
      <t>3.</t>
    </r>
    <r>
      <rPr>
        <sz val="18"/>
        <color theme="1"/>
        <rFont val="Calibri"/>
        <family val="2"/>
        <charset val="186"/>
        <scheme val="minor"/>
      </rPr>
      <t xml:space="preserve"> SuMu on tööriist, mida saab kasutada sündmuste sotsiaal-majanduslike mõjude hindamisel</t>
    </r>
  </si>
  <si>
    <r>
      <rPr>
        <b/>
        <sz val="18"/>
        <color theme="1"/>
        <rFont val="Calibri"/>
        <family val="2"/>
        <charset val="186"/>
        <scheme val="minor"/>
      </rPr>
      <t>2.</t>
    </r>
    <r>
      <rPr>
        <sz val="18"/>
        <color theme="1"/>
        <rFont val="Calibri"/>
        <family val="2"/>
        <charset val="186"/>
        <scheme val="minor"/>
      </rPr>
      <t xml:space="preserve"> Sotsiaalse dimensiooni kvantifitseerimine</t>
    </r>
  </si>
  <si>
    <r>
      <rPr>
        <b/>
        <sz val="18"/>
        <color theme="1"/>
        <rFont val="Calibri"/>
        <family val="2"/>
        <charset val="186"/>
        <scheme val="minor"/>
      </rPr>
      <t>1.</t>
    </r>
    <r>
      <rPr>
        <sz val="18"/>
        <color theme="1"/>
        <rFont val="Calibri"/>
        <family val="2"/>
        <charset val="186"/>
        <scheme val="minor"/>
      </rPr>
      <t xml:space="preserve"> N-ö kuvandimõju ehk sündmuste pikaajaline mõju turismi perspektiivist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</si>
</sst>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42" formatCode="_-* #,##0\ &quot;€&quot;_-;\-* #,##0\ &quot;€&quot;_-;_-* &quot;-&quot;\ &quot;€&quot;_-;_-@_-"/>
    <numFmt numFmtId="44" formatCode="_-* #,##0.00\ &quot;€&quot;_-;\-* #,##0.00\ &quot;€&quot;_-;_-* &quot;-&quot;??\ &quot;€&quot;_-;_-@_-"/>
    <numFmt numFmtId="43" formatCode="_-* #,##0.00_-;\-* #,##0.00_-;_-* &quot;-&quot;??_-;_-@_-"/>
    <numFmt numFmtId="164" formatCode="_(* #,##0.00_);_(* \(#,##0.00\);_(* &quot;-&quot;??_);_(@_)"/>
    <numFmt numFmtId="165" formatCode="#,##0\ _€"/>
    <numFmt numFmtId="166" formatCode="_-* #,##0\ _€_-;\-* #,##0\ _€_-;_-* &quot;-&quot;\ _€_-;_-@_-"/>
    <numFmt numFmtId="167" formatCode="#,##0\ &quot;€&quot;"/>
    <numFmt numFmtId="168" formatCode="_-* #,##0\ &quot;€&quot;_-;\-* #,##0\ &quot;€&quot;_-;_-* &quot;-&quot;??\ &quot;€&quot;_-;_-@_-"/>
    <numFmt numFmtId="169" formatCode="_(* #,##0_);_(* \(#,##0\);_(* &quot;-&quot;??_);_(@_)"/>
    <numFmt numFmtId="170" formatCode="_-* #,##0.00\ [$€-425]_-;\-* #,##0.00\ [$€-425]_-;_-* &quot;-&quot;??\ [$€-425]_-;_-@_-"/>
    <numFmt numFmtId="171" formatCode="_-* #,##0\ [$€-425]_-;\-* #,##0\ [$€-425]_-;_-* &quot;-&quot;??\ [$€-425]_-;_-@_-"/>
    <numFmt numFmtId="172" formatCode="_-* #,##0\ [$€-425]_-;\-* #,##0\ [$€-425]_-;_-* &quot;-&quot;\ [$€-425]_-;_-@_-"/>
    <numFmt numFmtId="173" formatCode="0.0"/>
    <numFmt numFmtId="174" formatCode="_-[$€-2]\ * #.##0.00_-;\-[$€-2]\ * #.##0.00_-;_-[$€-2]\ * &quot;-&quot;??_-;_-@_-"/>
    <numFmt numFmtId="175" formatCode="_-* #,##0_-;\-* #,##0_-;_-* &quot;-&quot;??_-;_-@_-"/>
    <numFmt numFmtId="176" formatCode="#,##0.00\ &quot;€&quot;"/>
  </numFmts>
  <fonts count="68" x14ac:knownFonts="1">
    <font>
      <sz val="11"/>
      <color theme="1"/>
      <name val="Calibri"/>
      <family val="2"/>
      <charset val="186"/>
      <scheme val="minor"/>
    </font>
    <font>
      <sz val="11"/>
      <color theme="1"/>
      <name val="Calibri"/>
      <family val="2"/>
      <scheme val="minor"/>
    </font>
    <font>
      <sz val="11"/>
      <color theme="1"/>
      <name val="Calibri"/>
      <family val="2"/>
      <charset val="186"/>
      <scheme val="minor"/>
    </font>
    <font>
      <b/>
      <sz val="11"/>
      <color theme="1"/>
      <name val="Calibri"/>
      <family val="2"/>
      <charset val="186"/>
      <scheme val="minor"/>
    </font>
    <font>
      <b/>
      <sz val="11"/>
      <color rgb="FF000000"/>
      <name val="Calibri"/>
      <family val="2"/>
      <charset val="186"/>
      <scheme val="minor"/>
    </font>
    <font>
      <sz val="11"/>
      <color rgb="FF000000"/>
      <name val="Calibri"/>
      <family val="2"/>
      <charset val="186"/>
      <scheme val="minor"/>
    </font>
    <font>
      <sz val="11"/>
      <color rgb="FF000000"/>
      <name val="Times New Roman"/>
      <family val="1"/>
      <charset val="186"/>
    </font>
    <font>
      <i/>
      <sz val="11"/>
      <color rgb="FF000000"/>
      <name val="Calibri"/>
      <family val="2"/>
      <charset val="186"/>
      <scheme val="minor"/>
    </font>
    <font>
      <b/>
      <sz val="11"/>
      <color rgb="FF000000"/>
      <name val="Times New Roman"/>
      <family val="1"/>
      <charset val="186"/>
    </font>
    <font>
      <b/>
      <sz val="11"/>
      <color theme="9" tint="-0.249977111117893"/>
      <name val="Calibri"/>
      <family val="2"/>
      <charset val="186"/>
      <scheme val="minor"/>
    </font>
    <font>
      <i/>
      <sz val="11"/>
      <color theme="1"/>
      <name val="Calibri"/>
      <family val="2"/>
      <charset val="186"/>
      <scheme val="minor"/>
    </font>
    <font>
      <b/>
      <sz val="11"/>
      <color theme="0"/>
      <name val="Calibri"/>
      <family val="2"/>
      <charset val="186"/>
      <scheme val="minor"/>
    </font>
    <font>
      <sz val="11"/>
      <color rgb="FF000000"/>
      <name val="Times New Roman"/>
      <family val="1"/>
    </font>
    <font>
      <b/>
      <sz val="11"/>
      <color rgb="FF000000"/>
      <name val="Times New Roman"/>
      <family val="1"/>
    </font>
    <font>
      <i/>
      <sz val="11"/>
      <color rgb="FF000000"/>
      <name val="Times New Roman"/>
      <family val="1"/>
      <charset val="186"/>
    </font>
    <font>
      <sz val="11"/>
      <name val="Calibri"/>
      <family val="2"/>
      <charset val="186"/>
      <scheme val="minor"/>
    </font>
    <font>
      <b/>
      <sz val="14"/>
      <color theme="1"/>
      <name val="Calibri"/>
      <family val="2"/>
      <charset val="186"/>
      <scheme val="minor"/>
    </font>
    <font>
      <b/>
      <sz val="14"/>
      <color rgb="FF000000"/>
      <name val="Calibri"/>
      <family val="2"/>
      <charset val="186"/>
      <scheme val="minor"/>
    </font>
    <font>
      <b/>
      <sz val="11"/>
      <color rgb="FF000000"/>
      <name val="Calibri"/>
      <family val="2"/>
      <charset val="186"/>
    </font>
    <font>
      <b/>
      <sz val="12"/>
      <color rgb="FF000000"/>
      <name val="Calibri"/>
      <family val="2"/>
      <charset val="186"/>
      <scheme val="minor"/>
    </font>
    <font>
      <sz val="14"/>
      <color theme="1"/>
      <name val="Calibri"/>
      <family val="2"/>
      <charset val="186"/>
      <scheme val="minor"/>
    </font>
    <font>
      <b/>
      <sz val="12"/>
      <color theme="1"/>
      <name val="Calibri"/>
      <family val="2"/>
      <charset val="186"/>
      <scheme val="minor"/>
    </font>
    <font>
      <sz val="11"/>
      <color rgb="FFFF0000"/>
      <name val="Calibri"/>
      <family val="2"/>
      <charset val="186"/>
      <scheme val="minor"/>
    </font>
    <font>
      <sz val="11"/>
      <color theme="1"/>
      <name val="Calibri"/>
      <family val="2"/>
      <scheme val="minor"/>
    </font>
    <font>
      <sz val="11"/>
      <color theme="2" tint="-0.499984740745262"/>
      <name val="Calibri"/>
      <family val="2"/>
      <charset val="186"/>
      <scheme val="minor"/>
    </font>
    <font>
      <b/>
      <i/>
      <sz val="11"/>
      <color theme="1"/>
      <name val="Calibri"/>
      <family val="2"/>
      <charset val="186"/>
      <scheme val="minor"/>
    </font>
    <font>
      <sz val="11"/>
      <color rgb="FF000000"/>
      <name val="Calibri"/>
      <family val="2"/>
    </font>
    <font>
      <sz val="11"/>
      <color rgb="FF000000"/>
      <name val="Calibri"/>
      <family val="2"/>
      <charset val="186"/>
    </font>
    <font>
      <b/>
      <sz val="14"/>
      <color rgb="FF000000"/>
      <name val="Calibri"/>
      <family val="2"/>
      <charset val="186"/>
    </font>
    <font>
      <b/>
      <sz val="11"/>
      <color theme="0"/>
      <name val="Calibri"/>
      <family val="2"/>
      <scheme val="minor"/>
    </font>
    <font>
      <b/>
      <sz val="11"/>
      <color theme="1"/>
      <name val="Calibri"/>
      <family val="2"/>
      <scheme val="minor"/>
    </font>
    <font>
      <b/>
      <sz val="11"/>
      <color theme="9" tint="-0.249977111117893"/>
      <name val="Calibri"/>
      <family val="2"/>
      <scheme val="minor"/>
    </font>
    <font>
      <sz val="10"/>
      <color theme="1"/>
      <name val="Calibri"/>
      <family val="2"/>
      <charset val="186"/>
      <scheme val="minor"/>
    </font>
    <font>
      <b/>
      <sz val="14"/>
      <color theme="1"/>
      <name val="Calibri"/>
      <family val="2"/>
      <scheme val="minor"/>
    </font>
    <font>
      <sz val="11"/>
      <name val="Times New Roman"/>
      <family val="1"/>
    </font>
    <font>
      <b/>
      <sz val="11"/>
      <name val="Times New Roman"/>
      <family val="1"/>
    </font>
    <font>
      <b/>
      <i/>
      <sz val="11"/>
      <color theme="0"/>
      <name val="Calibri"/>
      <family val="2"/>
      <scheme val="minor"/>
    </font>
    <font>
      <b/>
      <sz val="11"/>
      <color rgb="FFFF0000"/>
      <name val="Calibri"/>
      <family val="2"/>
      <scheme val="minor"/>
    </font>
    <font>
      <i/>
      <sz val="11"/>
      <color theme="1"/>
      <name val="Calibri"/>
      <family val="2"/>
      <scheme val="minor"/>
    </font>
    <font>
      <sz val="11"/>
      <color rgb="FF000000"/>
      <name val="Calibri"/>
      <family val="2"/>
      <scheme val="minor"/>
    </font>
    <font>
      <sz val="11"/>
      <color theme="0"/>
      <name val="Calibri"/>
      <family val="2"/>
      <scheme val="minor"/>
    </font>
    <font>
      <sz val="11"/>
      <color theme="0"/>
      <name val="Calibri"/>
      <family val="2"/>
      <charset val="186"/>
      <scheme val="minor"/>
    </font>
    <font>
      <b/>
      <sz val="11"/>
      <name val="Calibri"/>
      <family val="2"/>
      <scheme val="minor"/>
    </font>
    <font>
      <sz val="9"/>
      <color indexed="81"/>
      <name val="Segoe UI"/>
      <family val="2"/>
    </font>
    <font>
      <b/>
      <i/>
      <sz val="11"/>
      <color rgb="FF000000"/>
      <name val="Times New Roman"/>
      <family val="1"/>
      <charset val="186"/>
    </font>
    <font>
      <b/>
      <sz val="11"/>
      <color rgb="FFFF0000"/>
      <name val="Calibri"/>
      <family val="2"/>
      <charset val="186"/>
      <scheme val="minor"/>
    </font>
    <font>
      <b/>
      <sz val="9"/>
      <color indexed="81"/>
      <name val="Tahoma"/>
      <family val="2"/>
    </font>
    <font>
      <sz val="9"/>
      <color indexed="81"/>
      <name val="Tahoma"/>
      <family val="2"/>
    </font>
    <font>
      <sz val="11"/>
      <name val="Calibri"/>
      <family val="2"/>
      <scheme val="minor"/>
    </font>
    <font>
      <b/>
      <i/>
      <sz val="11"/>
      <color theme="1"/>
      <name val="Calibri"/>
      <family val="2"/>
      <scheme val="minor"/>
    </font>
    <font>
      <i/>
      <sz val="10"/>
      <color theme="1"/>
      <name val="Calibri"/>
      <family val="2"/>
      <charset val="186"/>
      <scheme val="minor"/>
    </font>
    <font>
      <sz val="8"/>
      <name val="Calibri"/>
      <family val="2"/>
      <charset val="186"/>
      <scheme val="minor"/>
    </font>
    <font>
      <b/>
      <sz val="9"/>
      <color indexed="81"/>
      <name val="Segoe UI"/>
      <family val="2"/>
    </font>
    <font>
      <b/>
      <i/>
      <sz val="11"/>
      <color theme="0"/>
      <name val="Calibri"/>
      <family val="2"/>
      <charset val="186"/>
      <scheme val="minor"/>
    </font>
    <font>
      <sz val="9"/>
      <color rgb="FF000000"/>
      <name val="Segoe UI"/>
      <family val="2"/>
      <charset val="1"/>
    </font>
    <font>
      <b/>
      <sz val="11"/>
      <name val="Calibri"/>
      <family val="2"/>
      <charset val="186"/>
      <scheme val="minor"/>
    </font>
    <font>
      <b/>
      <sz val="14"/>
      <color rgb="FF000000"/>
      <name val="Calibri"/>
      <family val="2"/>
      <scheme val="minor"/>
    </font>
    <font>
      <b/>
      <sz val="11"/>
      <color theme="1"/>
      <name val="Times New Roman"/>
      <family val="1"/>
    </font>
    <font>
      <i/>
      <sz val="11"/>
      <name val="Times New Roman"/>
      <family val="1"/>
    </font>
    <font>
      <i/>
      <sz val="11"/>
      <color theme="1"/>
      <name val="Times New Roman"/>
      <family val="1"/>
    </font>
    <font>
      <sz val="11"/>
      <color theme="1"/>
      <name val="Times New Roman"/>
      <family val="1"/>
    </font>
    <font>
      <b/>
      <sz val="11"/>
      <color theme="9" tint="-0.499984740745262"/>
      <name val="Calibri"/>
      <family val="2"/>
      <scheme val="minor"/>
    </font>
    <font>
      <i/>
      <sz val="11"/>
      <color rgb="FF000000"/>
      <name val="Times New Roman"/>
      <family val="1"/>
    </font>
    <font>
      <b/>
      <sz val="11"/>
      <color rgb="FF000000"/>
      <name val="Calibri"/>
      <family val="2"/>
    </font>
    <font>
      <b/>
      <sz val="11"/>
      <color theme="9" tint="-0.499984740745262"/>
      <name val="Calibri"/>
      <family val="2"/>
      <charset val="186"/>
      <scheme val="minor"/>
    </font>
    <font>
      <sz val="18"/>
      <color theme="1"/>
      <name val="Calibri"/>
      <family val="2"/>
      <charset val="186"/>
      <scheme val="minor"/>
    </font>
    <font>
      <b/>
      <sz val="18"/>
      <color theme="1"/>
      <name val="Calibri"/>
      <family val="2"/>
      <charset val="186"/>
      <scheme val="minor"/>
    </font>
    <font>
      <b/>
      <sz val="18"/>
      <color rgb="FFFF0000"/>
      <name val="Calibri"/>
      <family val="2"/>
      <charset val="186"/>
      <scheme val="minor"/>
    </font>
  </fonts>
  <fills count="27">
    <fill>
      <patternFill patternType="none"/>
    </fill>
    <fill>
      <patternFill patternType="gray125"/>
    </fill>
    <fill>
      <patternFill patternType="solid">
        <fgColor theme="7" tint="0.79998168889431442"/>
        <bgColor indexed="64"/>
      </patternFill>
    </fill>
    <fill>
      <patternFill patternType="solid">
        <fgColor rgb="FF5DD5FF"/>
        <bgColor indexed="64"/>
      </patternFill>
    </fill>
    <fill>
      <patternFill patternType="solid">
        <fgColor theme="7" tint="0.79998168889431442"/>
        <bgColor rgb="FF000000"/>
      </patternFill>
    </fill>
    <fill>
      <patternFill patternType="solid">
        <fgColor rgb="FFFFFF00"/>
        <bgColor indexed="64"/>
      </patternFill>
    </fill>
    <fill>
      <patternFill patternType="solid">
        <fgColor rgb="FFFFC000"/>
        <bgColor indexed="64"/>
      </patternFill>
    </fill>
    <fill>
      <patternFill patternType="solid">
        <fgColor rgb="FF0070C0"/>
        <bgColor indexed="64"/>
      </patternFill>
    </fill>
    <fill>
      <patternFill patternType="solid">
        <fgColor rgb="FF92D050"/>
        <bgColor indexed="64"/>
      </patternFill>
    </fill>
    <fill>
      <patternFill patternType="solid">
        <fgColor theme="1"/>
        <bgColor indexed="64"/>
      </patternFill>
    </fill>
    <fill>
      <patternFill patternType="solid">
        <fgColor rgb="FFCCFFFF"/>
        <bgColor indexed="64"/>
      </patternFill>
    </fill>
    <fill>
      <patternFill patternType="solid">
        <fgColor rgb="FFCC9900"/>
        <bgColor indexed="64"/>
      </patternFill>
    </fill>
    <fill>
      <patternFill patternType="solid">
        <fgColor rgb="FF996633"/>
        <bgColor indexed="64"/>
      </patternFill>
    </fill>
    <fill>
      <patternFill patternType="solid">
        <fgColor rgb="FF92D050"/>
        <bgColor rgb="FF000000"/>
      </patternFill>
    </fill>
    <fill>
      <patternFill patternType="solid">
        <fgColor theme="1"/>
        <bgColor rgb="FF000000"/>
      </patternFill>
    </fill>
    <fill>
      <patternFill patternType="solid">
        <fgColor rgb="FFFFCCFF"/>
        <bgColor indexed="64"/>
      </patternFill>
    </fill>
    <fill>
      <patternFill patternType="solid">
        <fgColor theme="9" tint="0.79998168889431442"/>
        <bgColor indexed="64"/>
      </patternFill>
    </fill>
    <fill>
      <patternFill patternType="solid">
        <fgColor rgb="FFDC9F24"/>
        <bgColor indexed="64"/>
      </patternFill>
    </fill>
    <fill>
      <patternFill patternType="solid">
        <fgColor rgb="FFFCCF8E"/>
        <bgColor indexed="64"/>
      </patternFill>
    </fill>
    <fill>
      <patternFill patternType="solid">
        <fgColor rgb="FF663300"/>
        <bgColor indexed="64"/>
      </patternFill>
    </fill>
    <fill>
      <patternFill patternType="solid">
        <fgColor rgb="FFFBD1D8"/>
        <bgColor indexed="64"/>
      </patternFill>
    </fill>
    <fill>
      <patternFill patternType="solid">
        <fgColor rgb="FF5DD5FF"/>
        <bgColor rgb="FF000000"/>
      </patternFill>
    </fill>
    <fill>
      <patternFill patternType="solid">
        <fgColor theme="9"/>
        <bgColor indexed="64"/>
      </patternFill>
    </fill>
    <fill>
      <patternFill patternType="solid">
        <fgColor theme="2"/>
        <bgColor indexed="64"/>
      </patternFill>
    </fill>
    <fill>
      <patternFill patternType="solid">
        <fgColor theme="2"/>
        <bgColor rgb="FF000000"/>
      </patternFill>
    </fill>
    <fill>
      <patternFill patternType="solid">
        <fgColor rgb="FFFF0000"/>
        <bgColor indexed="64"/>
      </patternFill>
    </fill>
    <fill>
      <patternFill patternType="solid">
        <fgColor theme="0" tint="-0.14999847407452621"/>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style="thin">
        <color indexed="64"/>
      </right>
      <top/>
      <bottom/>
      <diagonal/>
    </border>
    <border>
      <left style="thin">
        <color rgb="FF000000"/>
      </left>
      <right style="thin">
        <color rgb="FF000000"/>
      </right>
      <top/>
      <bottom style="thin">
        <color rgb="FF000000"/>
      </bottom>
      <diagonal/>
    </border>
  </borders>
  <cellStyleXfs count="6">
    <xf numFmtId="0" fontId="0" fillId="0" borderId="0"/>
    <xf numFmtId="44" fontId="2" fillId="0" borderId="0" applyFont="0" applyFill="0" applyBorder="0" applyAlignment="0" applyProtection="0"/>
    <xf numFmtId="9" fontId="2" fillId="0" borderId="0" applyFont="0" applyFill="0" applyBorder="0" applyAlignment="0" applyProtection="0"/>
    <xf numFmtId="0" fontId="23" fillId="0" borderId="0"/>
    <xf numFmtId="0" fontId="26" fillId="0" borderId="0" applyBorder="0"/>
    <xf numFmtId="43" fontId="2" fillId="0" borderId="0" applyFont="0" applyFill="0" applyBorder="0" applyAlignment="0" applyProtection="0"/>
  </cellStyleXfs>
  <cellXfs count="536">
    <xf numFmtId="0" fontId="0" fillId="0" borderId="0" xfId="0"/>
    <xf numFmtId="0" fontId="3" fillId="0" borderId="0" xfId="0" applyFont="1"/>
    <xf numFmtId="0" fontId="0" fillId="6" borderId="0" xfId="0" applyFill="1"/>
    <xf numFmtId="165" fontId="0" fillId="2" borderId="0" xfId="0" applyNumberFormat="1" applyFill="1"/>
    <xf numFmtId="165" fontId="3" fillId="2" borderId="0" xfId="0" applyNumberFormat="1" applyFont="1" applyFill="1"/>
    <xf numFmtId="0" fontId="0" fillId="8" borderId="0" xfId="0" applyFill="1"/>
    <xf numFmtId="0" fontId="0" fillId="9" borderId="0" xfId="0" applyFill="1"/>
    <xf numFmtId="0" fontId="11" fillId="12" borderId="0" xfId="0" applyFont="1" applyFill="1"/>
    <xf numFmtId="0" fontId="3" fillId="8" borderId="0" xfId="0" applyFont="1" applyFill="1" applyAlignment="1">
      <alignment wrapText="1"/>
    </xf>
    <xf numFmtId="0" fontId="9" fillId="8" borderId="0" xfId="0" applyFont="1" applyFill="1" applyAlignment="1">
      <alignment wrapText="1"/>
    </xf>
    <xf numFmtId="0" fontId="3" fillId="8" borderId="0" xfId="0" applyFont="1" applyFill="1"/>
    <xf numFmtId="166" fontId="5" fillId="9" borderId="1" xfId="1" applyNumberFormat="1" applyFont="1" applyFill="1" applyBorder="1" applyAlignment="1">
      <alignment horizontal="right" vertical="center"/>
    </xf>
    <xf numFmtId="0" fontId="6" fillId="9" borderId="1" xfId="0" applyFont="1" applyFill="1" applyBorder="1" applyAlignment="1">
      <alignment horizontal="right" vertical="center"/>
    </xf>
    <xf numFmtId="0" fontId="5" fillId="9" borderId="2" xfId="0" applyFont="1" applyFill="1" applyBorder="1"/>
    <xf numFmtId="0" fontId="5" fillId="9" borderId="3" xfId="0" applyFont="1" applyFill="1" applyBorder="1"/>
    <xf numFmtId="0" fontId="5" fillId="9" borderId="4" xfId="0" applyFont="1" applyFill="1" applyBorder="1"/>
    <xf numFmtId="0" fontId="12" fillId="9" borderId="2" xfId="0" applyFont="1" applyFill="1" applyBorder="1" applyAlignment="1">
      <alignment horizontal="left" vertical="top" wrapText="1"/>
    </xf>
    <xf numFmtId="0" fontId="12" fillId="9" borderId="3" xfId="0" applyFont="1" applyFill="1" applyBorder="1" applyAlignment="1">
      <alignment horizontal="left" vertical="top" wrapText="1"/>
    </xf>
    <xf numFmtId="0" fontId="5" fillId="9" borderId="1" xfId="0" applyFont="1" applyFill="1" applyBorder="1"/>
    <xf numFmtId="0" fontId="4" fillId="8" borderId="3" xfId="0" applyFont="1" applyFill="1" applyBorder="1" applyAlignment="1">
      <alignment horizontal="left"/>
    </xf>
    <xf numFmtId="1" fontId="3" fillId="2" borderId="1" xfId="0" applyNumberFormat="1" applyFont="1" applyFill="1" applyBorder="1"/>
    <xf numFmtId="1" fontId="0" fillId="2" borderId="1" xfId="0" applyNumberFormat="1" applyFill="1" applyBorder="1"/>
    <xf numFmtId="0" fontId="0" fillId="2" borderId="1" xfId="0" applyFill="1" applyBorder="1"/>
    <xf numFmtId="165" fontId="8" fillId="13" borderId="1" xfId="0" applyNumberFormat="1" applyFont="1" applyFill="1" applyBorder="1" applyAlignment="1">
      <alignment horizontal="right" vertical="center"/>
    </xf>
    <xf numFmtId="0" fontId="3" fillId="8" borderId="1" xfId="0" applyFont="1" applyFill="1" applyBorder="1" applyAlignment="1">
      <alignment horizontal="right"/>
    </xf>
    <xf numFmtId="1" fontId="10" fillId="2" borderId="1" xfId="0" applyNumberFormat="1" applyFont="1" applyFill="1" applyBorder="1"/>
    <xf numFmtId="0" fontId="0" fillId="0" borderId="0" xfId="0" applyAlignment="1">
      <alignment wrapText="1"/>
    </xf>
    <xf numFmtId="0" fontId="4" fillId="9" borderId="3" xfId="0" applyFont="1" applyFill="1" applyBorder="1" applyAlignment="1">
      <alignment horizontal="right"/>
    </xf>
    <xf numFmtId="0" fontId="4" fillId="9" borderId="4" xfId="0" applyFont="1" applyFill="1" applyBorder="1" applyAlignment="1">
      <alignment horizontal="right"/>
    </xf>
    <xf numFmtId="166" fontId="8" fillId="9" borderId="1" xfId="0" applyNumberFormat="1" applyFont="1" applyFill="1" applyBorder="1" applyAlignment="1">
      <alignment horizontal="right" vertical="center"/>
    </xf>
    <xf numFmtId="0" fontId="5" fillId="8" borderId="1" xfId="0" applyFont="1" applyFill="1" applyBorder="1" applyAlignment="1">
      <alignment wrapText="1"/>
    </xf>
    <xf numFmtId="166" fontId="13" fillId="9" borderId="1" xfId="0" applyNumberFormat="1" applyFont="1" applyFill="1" applyBorder="1" applyAlignment="1">
      <alignment horizontal="right" vertical="center"/>
    </xf>
    <xf numFmtId="0" fontId="19" fillId="8" borderId="2" xfId="0" applyFont="1" applyFill="1" applyBorder="1" applyAlignment="1">
      <alignment horizontal="left"/>
    </xf>
    <xf numFmtId="0" fontId="3" fillId="9" borderId="0" xfId="0" applyFont="1" applyFill="1"/>
    <xf numFmtId="0" fontId="3" fillId="8" borderId="5" xfId="0" applyFont="1" applyFill="1" applyBorder="1" applyAlignment="1">
      <alignment wrapText="1"/>
    </xf>
    <xf numFmtId="0" fontId="3" fillId="8" borderId="6" xfId="0" applyFont="1" applyFill="1" applyBorder="1" applyAlignment="1">
      <alignment wrapText="1"/>
    </xf>
    <xf numFmtId="165" fontId="3" fillId="9" borderId="0" xfId="0" applyNumberFormat="1" applyFont="1" applyFill="1"/>
    <xf numFmtId="0" fontId="21" fillId="8" borderId="1" xfId="0" applyFont="1" applyFill="1" applyBorder="1" applyAlignment="1">
      <alignment wrapText="1"/>
    </xf>
    <xf numFmtId="166" fontId="3" fillId="15" borderId="7" xfId="0" applyNumberFormat="1" applyFont="1" applyFill="1" applyBorder="1" applyAlignment="1">
      <alignment wrapText="1"/>
    </xf>
    <xf numFmtId="166" fontId="3" fillId="15" borderId="8" xfId="0" applyNumberFormat="1" applyFont="1" applyFill="1" applyBorder="1" applyAlignment="1">
      <alignment wrapText="1"/>
    </xf>
    <xf numFmtId="0" fontId="16" fillId="0" borderId="0" xfId="0" applyFont="1"/>
    <xf numFmtId="0" fontId="0" fillId="0" borderId="0" xfId="3" applyFont="1"/>
    <xf numFmtId="0" fontId="0" fillId="0" borderId="1" xfId="3" applyFont="1" applyBorder="1"/>
    <xf numFmtId="0" fontId="0" fillId="0" borderId="19" xfId="0" applyBorder="1"/>
    <xf numFmtId="0" fontId="0" fillId="0" borderId="1" xfId="0" applyBorder="1"/>
    <xf numFmtId="0" fontId="27" fillId="0" borderId="0" xfId="4" applyFont="1"/>
    <xf numFmtId="0" fontId="28" fillId="0" borderId="0" xfId="4" applyFont="1"/>
    <xf numFmtId="0" fontId="18" fillId="0" borderId="0" xfId="4" applyFont="1"/>
    <xf numFmtId="1" fontId="27" fillId="0" borderId="0" xfId="4" applyNumberFormat="1" applyFont="1"/>
    <xf numFmtId="0" fontId="21" fillId="0" borderId="0" xfId="0" applyFont="1"/>
    <xf numFmtId="42" fontId="4" fillId="2" borderId="1" xfId="1" applyNumberFormat="1" applyFont="1" applyFill="1" applyBorder="1" applyAlignment="1">
      <alignment horizontal="right" vertical="center"/>
    </xf>
    <xf numFmtId="0" fontId="0" fillId="8" borderId="2" xfId="3" applyFont="1" applyFill="1" applyBorder="1"/>
    <xf numFmtId="0" fontId="0" fillId="8" borderId="18" xfId="3" applyFont="1" applyFill="1" applyBorder="1"/>
    <xf numFmtId="1" fontId="0" fillId="0" borderId="0" xfId="0" applyNumberFormat="1"/>
    <xf numFmtId="0" fontId="0" fillId="8" borderId="1" xfId="0" applyFill="1" applyBorder="1"/>
    <xf numFmtId="0" fontId="0" fillId="8" borderId="2" xfId="0" applyFill="1" applyBorder="1"/>
    <xf numFmtId="0" fontId="0" fillId="8" borderId="2" xfId="0" applyFill="1" applyBorder="1" applyAlignment="1">
      <alignment wrapText="1"/>
    </xf>
    <xf numFmtId="0" fontId="3" fillId="8" borderId="2" xfId="0" applyFont="1" applyFill="1" applyBorder="1"/>
    <xf numFmtId="168" fontId="5" fillId="2" borderId="1" xfId="1" applyNumberFormat="1" applyFont="1" applyFill="1" applyBorder="1"/>
    <xf numFmtId="168" fontId="0" fillId="2" borderId="0" xfId="1" applyNumberFormat="1" applyFont="1" applyFill="1"/>
    <xf numFmtId="42" fontId="0" fillId="2" borderId="1" xfId="1" applyNumberFormat="1" applyFont="1" applyFill="1" applyBorder="1"/>
    <xf numFmtId="168" fontId="4" fillId="2" borderId="1" xfId="1" applyNumberFormat="1" applyFont="1" applyFill="1" applyBorder="1"/>
    <xf numFmtId="0" fontId="0" fillId="9" borderId="1" xfId="0" applyFill="1" applyBorder="1"/>
    <xf numFmtId="9" fontId="0" fillId="2" borderId="1" xfId="0" applyNumberFormat="1" applyFill="1" applyBorder="1"/>
    <xf numFmtId="0" fontId="17" fillId="8" borderId="0" xfId="0" applyFont="1" applyFill="1" applyAlignment="1">
      <alignment horizontal="left"/>
    </xf>
    <xf numFmtId="0" fontId="0" fillId="8" borderId="1" xfId="0" applyFill="1" applyBorder="1" applyAlignment="1">
      <alignment wrapText="1"/>
    </xf>
    <xf numFmtId="167" fontId="4" fillId="2" borderId="9" xfId="1" applyNumberFormat="1" applyFont="1" applyFill="1" applyBorder="1" applyAlignment="1">
      <alignment horizontal="right" vertical="center"/>
    </xf>
    <xf numFmtId="167" fontId="6" fillId="2" borderId="2" xfId="0" applyNumberFormat="1" applyFont="1" applyFill="1" applyBorder="1" applyAlignment="1">
      <alignment horizontal="right" vertical="top" wrapText="1"/>
    </xf>
    <xf numFmtId="0" fontId="3" fillId="8" borderId="0" xfId="0" applyFont="1" applyFill="1" applyAlignment="1">
      <alignment horizontal="left" wrapText="1"/>
    </xf>
    <xf numFmtId="0" fontId="9" fillId="8" borderId="0" xfId="0" applyFont="1" applyFill="1" applyAlignment="1">
      <alignment horizontal="left" wrapText="1"/>
    </xf>
    <xf numFmtId="0" fontId="4" fillId="8" borderId="1" xfId="0" applyFont="1" applyFill="1" applyBorder="1" applyAlignment="1">
      <alignment horizontal="left" wrapText="1"/>
    </xf>
    <xf numFmtId="0" fontId="4" fillId="13" borderId="2" xfId="0" applyFont="1" applyFill="1" applyBorder="1" applyAlignment="1">
      <alignment horizontal="left" wrapText="1"/>
    </xf>
    <xf numFmtId="0" fontId="4" fillId="13" borderId="3" xfId="0" applyFont="1" applyFill="1" applyBorder="1" applyAlignment="1">
      <alignment horizontal="left" wrapText="1"/>
    </xf>
    <xf numFmtId="0" fontId="3" fillId="9" borderId="0" xfId="0" applyFont="1" applyFill="1" applyAlignment="1">
      <alignment horizontal="left"/>
    </xf>
    <xf numFmtId="0" fontId="3" fillId="0" borderId="0" xfId="0" applyFont="1" applyAlignment="1">
      <alignment horizontal="left"/>
    </xf>
    <xf numFmtId="0" fontId="8" fillId="8" borderId="2" xfId="0" applyFont="1" applyFill="1" applyBorder="1" applyAlignment="1">
      <alignment horizontal="left" wrapText="1"/>
    </xf>
    <xf numFmtId="0" fontId="4" fillId="8" borderId="1" xfId="1" applyNumberFormat="1" applyFont="1" applyFill="1" applyBorder="1" applyAlignment="1">
      <alignment horizontal="left" wrapText="1"/>
    </xf>
    <xf numFmtId="3" fontId="14" fillId="2" borderId="1" xfId="0" applyNumberFormat="1" applyFont="1" applyFill="1" applyBorder="1" applyAlignment="1">
      <alignment horizontal="right" vertical="center"/>
    </xf>
    <xf numFmtId="168" fontId="0" fillId="2" borderId="1" xfId="1" applyNumberFormat="1" applyFont="1" applyFill="1" applyBorder="1"/>
    <xf numFmtId="168" fontId="5" fillId="2" borderId="2" xfId="1" applyNumberFormat="1" applyFont="1" applyFill="1" applyBorder="1" applyAlignment="1">
      <alignment horizontal="right" vertical="center"/>
    </xf>
    <xf numFmtId="168" fontId="4" fillId="2" borderId="2" xfId="1" applyNumberFormat="1" applyFont="1" applyFill="1" applyBorder="1" applyAlignment="1">
      <alignment horizontal="right" vertical="center"/>
    </xf>
    <xf numFmtId="168" fontId="5" fillId="2" borderId="0" xfId="1" applyNumberFormat="1" applyFont="1" applyFill="1" applyBorder="1" applyAlignment="1">
      <alignment horizontal="right" vertical="center"/>
    </xf>
    <xf numFmtId="168" fontId="3" fillId="2" borderId="0" xfId="1" applyNumberFormat="1" applyFont="1" applyFill="1"/>
    <xf numFmtId="168" fontId="8" fillId="4" borderId="1" xfId="1" applyNumberFormat="1" applyFont="1" applyFill="1" applyBorder="1" applyAlignment="1">
      <alignment horizontal="right" vertical="center"/>
    </xf>
    <xf numFmtId="0" fontId="0" fillId="0" borderId="1" xfId="0" applyBorder="1" applyAlignment="1">
      <alignment wrapText="1"/>
    </xf>
    <xf numFmtId="9" fontId="9" fillId="16" borderId="1" xfId="2" applyFont="1" applyFill="1" applyBorder="1"/>
    <xf numFmtId="0" fontId="3" fillId="0" borderId="1" xfId="0" applyFont="1" applyBorder="1"/>
    <xf numFmtId="44" fontId="0" fillId="0" borderId="0" xfId="1" applyFont="1" applyFill="1"/>
    <xf numFmtId="0" fontId="0" fillId="2" borderId="1" xfId="3" applyFont="1" applyFill="1" applyBorder="1"/>
    <xf numFmtId="1" fontId="30" fillId="0" borderId="1" xfId="0" applyNumberFormat="1" applyFont="1" applyBorder="1"/>
    <xf numFmtId="42" fontId="0" fillId="0" borderId="0" xfId="1" applyNumberFormat="1" applyFont="1" applyBorder="1"/>
    <xf numFmtId="0" fontId="0" fillId="18" borderId="0" xfId="0" applyFill="1"/>
    <xf numFmtId="9" fontId="31" fillId="16" borderId="1" xfId="0" applyNumberFormat="1" applyFont="1" applyFill="1" applyBorder="1"/>
    <xf numFmtId="0" fontId="0" fillId="18" borderId="0" xfId="0" applyFill="1" applyAlignment="1">
      <alignment wrapText="1"/>
    </xf>
    <xf numFmtId="0" fontId="3" fillId="17" borderId="0" xfId="0" applyFont="1" applyFill="1"/>
    <xf numFmtId="0" fontId="33" fillId="0" borderId="0" xfId="0" applyFont="1"/>
    <xf numFmtId="0" fontId="3" fillId="17" borderId="1" xfId="0" applyFont="1" applyFill="1" applyBorder="1"/>
    <xf numFmtId="0" fontId="25" fillId="0" borderId="0" xfId="0" applyFont="1"/>
    <xf numFmtId="0" fontId="20" fillId="0" borderId="0" xfId="0" applyFont="1" applyAlignment="1">
      <alignment vertical="top"/>
    </xf>
    <xf numFmtId="0" fontId="11" fillId="7" borderId="1" xfId="0" applyFont="1" applyFill="1" applyBorder="1" applyAlignment="1">
      <alignment horizontal="left" wrapText="1" indent="1"/>
    </xf>
    <xf numFmtId="9" fontId="0" fillId="3" borderId="1" xfId="2" applyFont="1" applyFill="1" applyBorder="1" applyAlignment="1">
      <alignment horizontal="left" wrapText="1" indent="1"/>
    </xf>
    <xf numFmtId="0" fontId="3" fillId="0" borderId="0" xfId="0" applyFont="1" applyAlignment="1">
      <alignment wrapText="1"/>
    </xf>
    <xf numFmtId="0" fontId="11" fillId="12" borderId="1" xfId="0" applyFont="1" applyFill="1" applyBorder="1"/>
    <xf numFmtId="9" fontId="11" fillId="12" borderId="1" xfId="0" applyNumberFormat="1" applyFont="1" applyFill="1" applyBorder="1"/>
    <xf numFmtId="10" fontId="11" fillId="12" borderId="1" xfId="0" applyNumberFormat="1" applyFont="1" applyFill="1" applyBorder="1"/>
    <xf numFmtId="168" fontId="11" fillId="12" borderId="1" xfId="1" applyNumberFormat="1" applyFont="1" applyFill="1" applyBorder="1" applyAlignment="1">
      <alignment horizontal="right" vertical="center"/>
    </xf>
    <xf numFmtId="0" fontId="11" fillId="19" borderId="1" xfId="0" applyFont="1" applyFill="1" applyBorder="1"/>
    <xf numFmtId="0" fontId="11" fillId="19" borderId="11" xfId="0" applyFont="1" applyFill="1" applyBorder="1"/>
    <xf numFmtId="0" fontId="11" fillId="12" borderId="1" xfId="0" applyFont="1" applyFill="1" applyBorder="1" applyAlignment="1">
      <alignment horizontal="left" wrapText="1" indent="1"/>
    </xf>
    <xf numFmtId="0" fontId="0" fillId="0" borderId="0" xfId="0" applyAlignment="1">
      <alignment horizontal="left" wrapText="1"/>
    </xf>
    <xf numFmtId="0" fontId="11" fillId="19" borderId="1" xfId="0" applyFont="1" applyFill="1" applyBorder="1" applyAlignment="1">
      <alignment horizontal="left" wrapText="1" indent="1"/>
    </xf>
    <xf numFmtId="0" fontId="36" fillId="12" borderId="0" xfId="0" applyFont="1" applyFill="1"/>
    <xf numFmtId="0" fontId="5" fillId="8" borderId="1" xfId="0" applyFont="1" applyFill="1" applyBorder="1" applyAlignment="1">
      <alignment horizontal="left" indent="1"/>
    </xf>
    <xf numFmtId="0" fontId="0" fillId="18" borderId="0" xfId="0" applyFill="1" applyAlignment="1">
      <alignment horizontal="left" indent="1"/>
    </xf>
    <xf numFmtId="0" fontId="3" fillId="17" borderId="0" xfId="0" applyFont="1" applyFill="1" applyAlignment="1">
      <alignment horizontal="left" wrapText="1" indent="1"/>
    </xf>
    <xf numFmtId="9" fontId="9" fillId="16" borderId="1" xfId="2" applyFont="1" applyFill="1" applyBorder="1" applyAlignment="1">
      <alignment horizontal="left" indent="1"/>
    </xf>
    <xf numFmtId="0" fontId="37" fillId="20" borderId="1" xfId="0" applyFont="1" applyFill="1" applyBorder="1" applyAlignment="1">
      <alignment horizontal="left" indent="1"/>
    </xf>
    <xf numFmtId="42" fontId="0" fillId="18" borderId="0" xfId="0" applyNumberFormat="1" applyFill="1"/>
    <xf numFmtId="0" fontId="3" fillId="0" borderId="0" xfId="0" applyFont="1" applyAlignment="1">
      <alignment horizontal="left" wrapText="1"/>
    </xf>
    <xf numFmtId="0" fontId="33" fillId="0" borderId="0" xfId="0" applyFont="1" applyAlignment="1">
      <alignment wrapText="1"/>
    </xf>
    <xf numFmtId="0" fontId="39" fillId="10" borderId="1" xfId="1" applyNumberFormat="1" applyFont="1" applyFill="1" applyBorder="1" applyAlignment="1">
      <alignment horizontal="left" vertical="center" wrapText="1" indent="1"/>
    </xf>
    <xf numFmtId="0" fontId="39" fillId="2" borderId="1" xfId="1" applyNumberFormat="1" applyFont="1" applyFill="1" applyBorder="1" applyAlignment="1">
      <alignment horizontal="left" wrapText="1" indent="1"/>
    </xf>
    <xf numFmtId="0" fontId="20" fillId="2" borderId="0" xfId="0" applyFont="1" applyFill="1" applyAlignment="1">
      <alignment vertical="top"/>
    </xf>
    <xf numFmtId="0" fontId="0" fillId="18" borderId="15" xfId="0" applyFill="1" applyBorder="1"/>
    <xf numFmtId="0" fontId="41" fillId="19" borderId="1" xfId="0" applyFont="1" applyFill="1" applyBorder="1"/>
    <xf numFmtId="0" fontId="41" fillId="19" borderId="1" xfId="3" applyFont="1" applyFill="1" applyBorder="1"/>
    <xf numFmtId="0" fontId="41" fillId="19" borderId="11" xfId="3" applyFont="1" applyFill="1" applyBorder="1"/>
    <xf numFmtId="0" fontId="41" fillId="12" borderId="1" xfId="0" applyFont="1" applyFill="1" applyBorder="1"/>
    <xf numFmtId="0" fontId="40" fillId="12" borderId="1" xfId="3" applyFont="1" applyFill="1" applyBorder="1"/>
    <xf numFmtId="0" fontId="40" fillId="12" borderId="1" xfId="0" applyFont="1" applyFill="1" applyBorder="1"/>
    <xf numFmtId="0" fontId="40" fillId="12" borderId="17" xfId="0" applyFont="1" applyFill="1" applyBorder="1"/>
    <xf numFmtId="0" fontId="41" fillId="12" borderId="11" xfId="3" applyFont="1" applyFill="1" applyBorder="1"/>
    <xf numFmtId="0" fontId="41" fillId="12" borderId="1" xfId="3" applyFont="1" applyFill="1" applyBorder="1"/>
    <xf numFmtId="0" fontId="41" fillId="12" borderId="17" xfId="3" applyFont="1" applyFill="1" applyBorder="1"/>
    <xf numFmtId="0" fontId="41" fillId="12" borderId="4" xfId="0" applyFont="1" applyFill="1" applyBorder="1"/>
    <xf numFmtId="0" fontId="41" fillId="19" borderId="0" xfId="0" applyFont="1" applyFill="1"/>
    <xf numFmtId="0" fontId="40" fillId="19" borderId="1" xfId="3" applyFont="1" applyFill="1" applyBorder="1"/>
    <xf numFmtId="171" fontId="11" fillId="12" borderId="2" xfId="0" applyNumberFormat="1" applyFont="1" applyFill="1" applyBorder="1"/>
    <xf numFmtId="171" fontId="11" fillId="19" borderId="1" xfId="0" applyNumberFormat="1" applyFont="1" applyFill="1" applyBorder="1"/>
    <xf numFmtId="0" fontId="10" fillId="0" borderId="1" xfId="0" applyFont="1" applyBorder="1"/>
    <xf numFmtId="10" fontId="29" fillId="12" borderId="0" xfId="0" applyNumberFormat="1" applyFont="1" applyFill="1"/>
    <xf numFmtId="9" fontId="29" fillId="12" borderId="0" xfId="0" applyNumberFormat="1" applyFont="1" applyFill="1"/>
    <xf numFmtId="42" fontId="0" fillId="18" borderId="0" xfId="0" applyNumberFormat="1" applyFill="1" applyAlignment="1">
      <alignment vertical="center"/>
    </xf>
    <xf numFmtId="170" fontId="29" fillId="12" borderId="0" xfId="0" applyNumberFormat="1" applyFont="1" applyFill="1"/>
    <xf numFmtId="9" fontId="29" fillId="12" borderId="0" xfId="0" applyNumberFormat="1" applyFont="1" applyFill="1" applyAlignment="1">
      <alignment horizontal="center" vertical="center"/>
    </xf>
    <xf numFmtId="0" fontId="20" fillId="9" borderId="0" xfId="0" applyFont="1" applyFill="1"/>
    <xf numFmtId="0" fontId="17" fillId="9" borderId="0" xfId="0" applyFont="1" applyFill="1" applyAlignment="1">
      <alignment horizontal="left"/>
    </xf>
    <xf numFmtId="171" fontId="30" fillId="0" borderId="1" xfId="0" applyNumberFormat="1" applyFont="1" applyBorder="1"/>
    <xf numFmtId="1" fontId="3" fillId="0" borderId="1" xfId="0" applyNumberFormat="1" applyFont="1" applyBorder="1"/>
    <xf numFmtId="0" fontId="10" fillId="8" borderId="0" xfId="0" applyFont="1" applyFill="1"/>
    <xf numFmtId="0" fontId="3" fillId="8" borderId="1" xfId="0" applyFont="1" applyFill="1" applyBorder="1"/>
    <xf numFmtId="0" fontId="0" fillId="8" borderId="1" xfId="0" applyFill="1" applyBorder="1" applyAlignment="1">
      <alignment horizontal="left" indent="1"/>
    </xf>
    <xf numFmtId="0" fontId="0" fillId="8" borderId="18" xfId="0" applyFill="1" applyBorder="1"/>
    <xf numFmtId="0" fontId="30" fillId="8" borderId="1" xfId="0" applyFont="1" applyFill="1" applyBorder="1"/>
    <xf numFmtId="0" fontId="15" fillId="0" borderId="0" xfId="0" applyFont="1"/>
    <xf numFmtId="0" fontId="0" fillId="8" borderId="1" xfId="3" applyFont="1" applyFill="1" applyBorder="1"/>
    <xf numFmtId="0" fontId="0" fillId="8" borderId="17" xfId="3" applyFont="1" applyFill="1" applyBorder="1"/>
    <xf numFmtId="0" fontId="11" fillId="12" borderId="2" xfId="0" applyFont="1" applyFill="1" applyBorder="1"/>
    <xf numFmtId="168" fontId="11" fillId="12" borderId="4" xfId="1" applyNumberFormat="1" applyFont="1" applyFill="1" applyBorder="1" applyAlignment="1">
      <alignment horizontal="right" vertical="center"/>
    </xf>
    <xf numFmtId="0" fontId="30" fillId="0" borderId="0" xfId="0" applyFont="1"/>
    <xf numFmtId="1" fontId="30" fillId="0" borderId="0" xfId="0" applyNumberFormat="1" applyFont="1"/>
    <xf numFmtId="0" fontId="3" fillId="8" borderId="1" xfId="3" applyFont="1" applyFill="1" applyBorder="1"/>
    <xf numFmtId="3" fontId="0" fillId="2" borderId="1" xfId="3" applyNumberFormat="1" applyFont="1" applyFill="1" applyBorder="1"/>
    <xf numFmtId="175" fontId="0" fillId="2" borderId="1" xfId="5" applyNumberFormat="1" applyFont="1" applyFill="1" applyBorder="1"/>
    <xf numFmtId="1" fontId="0" fillId="2" borderId="1" xfId="3" applyNumberFormat="1" applyFont="1" applyFill="1" applyBorder="1"/>
    <xf numFmtId="1" fontId="15" fillId="2" borderId="0" xfId="3" applyNumberFormat="1" applyFont="1" applyFill="1" applyAlignment="1">
      <alignment horizontal="right"/>
    </xf>
    <xf numFmtId="0" fontId="15" fillId="2" borderId="0" xfId="3" applyFont="1" applyFill="1"/>
    <xf numFmtId="1" fontId="15" fillId="2" borderId="14" xfId="3" applyNumberFormat="1" applyFont="1" applyFill="1" applyBorder="1"/>
    <xf numFmtId="0" fontId="15" fillId="8" borderId="0" xfId="3" applyFont="1" applyFill="1"/>
    <xf numFmtId="0" fontId="30" fillId="8" borderId="1" xfId="3" applyFont="1" applyFill="1" applyBorder="1"/>
    <xf numFmtId="0" fontId="0" fillId="8" borderId="11" xfId="3" applyFont="1" applyFill="1" applyBorder="1"/>
    <xf numFmtId="0" fontId="0" fillId="9" borderId="0" xfId="3" applyFont="1" applyFill="1"/>
    <xf numFmtId="0" fontId="41" fillId="9" borderId="0" xfId="3" applyFont="1" applyFill="1"/>
    <xf numFmtId="0" fontId="24" fillId="9" borderId="0" xfId="3" applyFont="1" applyFill="1"/>
    <xf numFmtId="1" fontId="11" fillId="9" borderId="0" xfId="3" applyNumberFormat="1" applyFont="1" applyFill="1"/>
    <xf numFmtId="0" fontId="11" fillId="9" borderId="0" xfId="3" applyFont="1" applyFill="1"/>
    <xf numFmtId="2" fontId="41" fillId="9" borderId="0" xfId="3" applyNumberFormat="1" applyFont="1" applyFill="1"/>
    <xf numFmtId="0" fontId="10" fillId="9" borderId="0" xfId="3" applyFont="1" applyFill="1"/>
    <xf numFmtId="1" fontId="0" fillId="9" borderId="0" xfId="3" applyNumberFormat="1" applyFont="1" applyFill="1"/>
    <xf numFmtId="0" fontId="5" fillId="9" borderId="0" xfId="3" applyFont="1" applyFill="1"/>
    <xf numFmtId="0" fontId="0" fillId="8" borderId="0" xfId="3" applyFont="1" applyFill="1"/>
    <xf numFmtId="0" fontId="0" fillId="8" borderId="13" xfId="3" applyFont="1" applyFill="1" applyBorder="1"/>
    <xf numFmtId="164" fontId="0" fillId="8" borderId="0" xfId="3" applyNumberFormat="1" applyFont="1" applyFill="1"/>
    <xf numFmtId="0" fontId="0" fillId="8" borderId="20" xfId="3" applyFont="1" applyFill="1" applyBorder="1"/>
    <xf numFmtId="1" fontId="48" fillId="2" borderId="1" xfId="3" applyNumberFormat="1" applyFont="1" applyFill="1" applyBorder="1"/>
    <xf numFmtId="0" fontId="0" fillId="2" borderId="11" xfId="3" applyFont="1" applyFill="1" applyBorder="1"/>
    <xf numFmtId="0" fontId="0" fillId="9" borderId="1" xfId="3" applyFont="1" applyFill="1" applyBorder="1"/>
    <xf numFmtId="0" fontId="0" fillId="8" borderId="4" xfId="3" applyFont="1" applyFill="1" applyBorder="1"/>
    <xf numFmtId="0" fontId="29" fillId="9" borderId="1" xfId="3" applyFont="1" applyFill="1" applyBorder="1"/>
    <xf numFmtId="1" fontId="29" fillId="19" borderId="1" xfId="3" applyNumberFormat="1" applyFont="1" applyFill="1" applyBorder="1"/>
    <xf numFmtId="171" fontId="29" fillId="19" borderId="1" xfId="3" applyNumberFormat="1" applyFont="1" applyFill="1" applyBorder="1"/>
    <xf numFmtId="171" fontId="0" fillId="2" borderId="1" xfId="3" applyNumberFormat="1" applyFont="1" applyFill="1" applyBorder="1"/>
    <xf numFmtId="1" fontId="6" fillId="2" borderId="1" xfId="0" applyNumberFormat="1" applyFont="1" applyFill="1" applyBorder="1" applyAlignment="1">
      <alignment horizontal="right" vertical="center"/>
    </xf>
    <xf numFmtId="0" fontId="0" fillId="8" borderId="16" xfId="3" applyFont="1" applyFill="1" applyBorder="1"/>
    <xf numFmtId="0" fontId="39" fillId="8" borderId="21" xfId="3" applyFont="1" applyFill="1" applyBorder="1"/>
    <xf numFmtId="0" fontId="3" fillId="8" borderId="0" xfId="3" applyFont="1" applyFill="1"/>
    <xf numFmtId="0" fontId="11" fillId="19" borderId="0" xfId="3" applyFont="1" applyFill="1"/>
    <xf numFmtId="1" fontId="40" fillId="12" borderId="21" xfId="3" applyNumberFormat="1" applyFont="1" applyFill="1" applyBorder="1"/>
    <xf numFmtId="0" fontId="41" fillId="12" borderId="2" xfId="0" applyFont="1" applyFill="1" applyBorder="1"/>
    <xf numFmtId="0" fontId="41" fillId="0" borderId="0" xfId="0" applyFont="1"/>
    <xf numFmtId="42" fontId="0" fillId="18" borderId="0" xfId="0" applyNumberFormat="1" applyFill="1" applyAlignment="1">
      <alignment horizontal="left" indent="1"/>
    </xf>
    <xf numFmtId="42" fontId="0" fillId="18" borderId="0" xfId="0" applyNumberFormat="1" applyFill="1" applyAlignment="1">
      <alignment horizontal="left" indent="2"/>
    </xf>
    <xf numFmtId="0" fontId="50" fillId="8" borderId="1" xfId="0" applyFont="1" applyFill="1" applyBorder="1" applyAlignment="1">
      <alignment horizontal="left" indent="2"/>
    </xf>
    <xf numFmtId="1" fontId="41" fillId="19" borderId="1" xfId="0" applyNumberFormat="1" applyFont="1" applyFill="1" applyBorder="1"/>
    <xf numFmtId="0" fontId="15" fillId="5" borderId="1" xfId="0" applyFont="1" applyFill="1" applyBorder="1"/>
    <xf numFmtId="16" fontId="0" fillId="9" borderId="0" xfId="3" applyNumberFormat="1" applyFont="1" applyFill="1"/>
    <xf numFmtId="0" fontId="30" fillId="9" borderId="0" xfId="3" applyFont="1" applyFill="1"/>
    <xf numFmtId="175" fontId="0" fillId="2" borderId="17" xfId="5" applyNumberFormat="1" applyFont="1" applyFill="1" applyBorder="1"/>
    <xf numFmtId="175" fontId="0" fillId="2" borderId="16" xfId="5" applyNumberFormat="1" applyFont="1" applyFill="1" applyBorder="1"/>
    <xf numFmtId="0" fontId="38" fillId="8" borderId="0" xfId="0" applyFont="1" applyFill="1"/>
    <xf numFmtId="171" fontId="11" fillId="12" borderId="2" xfId="0" applyNumberFormat="1" applyFont="1" applyFill="1" applyBorder="1" applyAlignment="1">
      <alignment vertical="center"/>
    </xf>
    <xf numFmtId="1" fontId="41" fillId="19" borderId="1" xfId="3" applyNumberFormat="1" applyFont="1" applyFill="1" applyBorder="1"/>
    <xf numFmtId="0" fontId="0" fillId="22" borderId="10" xfId="0" applyFill="1" applyBorder="1"/>
    <xf numFmtId="0" fontId="0" fillId="23" borderId="1" xfId="0" applyFill="1" applyBorder="1" applyAlignment="1">
      <alignment horizontal="left" wrapText="1" indent="1"/>
    </xf>
    <xf numFmtId="0" fontId="0" fillId="0" borderId="15" xfId="0" applyBorder="1"/>
    <xf numFmtId="9" fontId="41" fillId="12" borderId="1" xfId="2" applyFont="1" applyFill="1" applyBorder="1"/>
    <xf numFmtId="0" fontId="15" fillId="0" borderId="1" xfId="3" applyFont="1" applyBorder="1"/>
    <xf numFmtId="9" fontId="30" fillId="0" borderId="17" xfId="0" applyNumberFormat="1" applyFont="1" applyBorder="1"/>
    <xf numFmtId="0" fontId="30" fillId="8" borderId="0" xfId="0" applyFont="1" applyFill="1" applyAlignment="1">
      <alignment wrapText="1"/>
    </xf>
    <xf numFmtId="0" fontId="0" fillId="8" borderId="1" xfId="3" applyFont="1" applyFill="1" applyBorder="1" applyAlignment="1">
      <alignment wrapText="1"/>
    </xf>
    <xf numFmtId="170" fontId="29" fillId="19" borderId="0" xfId="0" applyNumberFormat="1" applyFont="1" applyFill="1"/>
    <xf numFmtId="0" fontId="15" fillId="8" borderId="0" xfId="0" applyFont="1" applyFill="1"/>
    <xf numFmtId="0" fontId="15" fillId="8" borderId="0" xfId="0" applyFont="1" applyFill="1" applyAlignment="1">
      <alignment wrapText="1"/>
    </xf>
    <xf numFmtId="0" fontId="15" fillId="0" borderId="0" xfId="0" applyFont="1" applyAlignment="1">
      <alignment wrapText="1"/>
    </xf>
    <xf numFmtId="0" fontId="11" fillId="19" borderId="0" xfId="0" applyFont="1" applyFill="1" applyAlignment="1">
      <alignment wrapText="1"/>
    </xf>
    <xf numFmtId="0" fontId="11" fillId="19" borderId="1" xfId="0" applyFont="1" applyFill="1" applyBorder="1" applyAlignment="1">
      <alignment wrapText="1"/>
    </xf>
    <xf numFmtId="0" fontId="0" fillId="0" borderId="0" xfId="0" applyAlignment="1">
      <alignment horizontal="center"/>
    </xf>
    <xf numFmtId="0" fontId="0" fillId="8" borderId="1" xfId="0" applyFill="1" applyBorder="1" applyAlignment="1">
      <alignment horizontal="right" wrapText="1"/>
    </xf>
    <xf numFmtId="0" fontId="0" fillId="8" borderId="1" xfId="3" applyFont="1" applyFill="1" applyBorder="1" applyAlignment="1">
      <alignment horizontal="right" wrapText="1"/>
    </xf>
    <xf numFmtId="0" fontId="0" fillId="8" borderId="19" xfId="3" applyFont="1" applyFill="1" applyBorder="1" applyAlignment="1">
      <alignment horizontal="right" wrapText="1"/>
    </xf>
    <xf numFmtId="167" fontId="11" fillId="12" borderId="0" xfId="0" applyNumberFormat="1" applyFont="1" applyFill="1" applyAlignment="1">
      <alignment horizontal="center" vertical="center"/>
    </xf>
    <xf numFmtId="167" fontId="11" fillId="19" borderId="0" xfId="0" applyNumberFormat="1" applyFont="1" applyFill="1" applyAlignment="1">
      <alignment horizontal="center" vertical="center"/>
    </xf>
    <xf numFmtId="0" fontId="29" fillId="12" borderId="0" xfId="0" applyFont="1" applyFill="1" applyAlignment="1">
      <alignment horizontal="center"/>
    </xf>
    <xf numFmtId="0" fontId="29" fillId="19" borderId="0" xfId="0" applyFont="1" applyFill="1" applyAlignment="1">
      <alignment horizontal="center"/>
    </xf>
    <xf numFmtId="0" fontId="0" fillId="2" borderId="0" xfId="3" applyFont="1" applyFill="1"/>
    <xf numFmtId="170" fontId="41" fillId="12" borderId="1" xfId="3" applyNumberFormat="1" applyFont="1" applyFill="1" applyBorder="1"/>
    <xf numFmtId="1" fontId="41" fillId="9" borderId="1" xfId="3" applyNumberFormat="1" applyFont="1" applyFill="1" applyBorder="1"/>
    <xf numFmtId="0" fontId="41" fillId="19" borderId="17" xfId="0" applyFont="1" applyFill="1" applyBorder="1"/>
    <xf numFmtId="0" fontId="41" fillId="9" borderId="1" xfId="3" applyFont="1" applyFill="1" applyBorder="1"/>
    <xf numFmtId="1" fontId="40" fillId="19" borderId="1" xfId="3" applyNumberFormat="1" applyFont="1" applyFill="1" applyBorder="1"/>
    <xf numFmtId="175" fontId="40" fillId="19" borderId="1" xfId="3" applyNumberFormat="1" applyFont="1" applyFill="1" applyBorder="1"/>
    <xf numFmtId="0" fontId="2" fillId="8" borderId="0" xfId="3" applyFont="1" applyFill="1"/>
    <xf numFmtId="0" fontId="2" fillId="8" borderId="1" xfId="3" applyFont="1" applyFill="1" applyBorder="1"/>
    <xf numFmtId="9" fontId="41" fillId="12" borderId="1" xfId="3" applyNumberFormat="1" applyFont="1" applyFill="1" applyBorder="1"/>
    <xf numFmtId="169" fontId="40" fillId="19" borderId="1" xfId="3" applyNumberFormat="1" applyFont="1" applyFill="1" applyBorder="1"/>
    <xf numFmtId="0" fontId="2" fillId="9" borderId="0" xfId="3" applyFont="1" applyFill="1"/>
    <xf numFmtId="0" fontId="30" fillId="9" borderId="1" xfId="3" applyFont="1" applyFill="1" applyBorder="1"/>
    <xf numFmtId="0" fontId="2" fillId="2" borderId="0" xfId="3" applyFont="1" applyFill="1"/>
    <xf numFmtId="0" fontId="30" fillId="8" borderId="17" xfId="3" applyFont="1" applyFill="1" applyBorder="1"/>
    <xf numFmtId="0" fontId="42" fillId="8" borderId="14" xfId="3" applyFont="1" applyFill="1" applyBorder="1"/>
    <xf numFmtId="0" fontId="49" fillId="8" borderId="1" xfId="3" applyFont="1" applyFill="1" applyBorder="1"/>
    <xf numFmtId="2" fontId="29" fillId="9" borderId="1" xfId="3" applyNumberFormat="1" applyFont="1" applyFill="1" applyBorder="1"/>
    <xf numFmtId="0" fontId="0" fillId="9" borderId="11" xfId="3" applyFont="1" applyFill="1" applyBorder="1"/>
    <xf numFmtId="0" fontId="0" fillId="0" borderId="0" xfId="0" applyAlignment="1">
      <alignment vertical="center" textRotation="90"/>
    </xf>
    <xf numFmtId="0" fontId="0" fillId="8" borderId="17" xfId="0" applyFill="1" applyBorder="1"/>
    <xf numFmtId="169" fontId="0" fillId="9" borderId="0" xfId="3" applyNumberFormat="1" applyFont="1" applyFill="1"/>
    <xf numFmtId="0" fontId="41" fillId="12" borderId="0" xfId="0" applyFont="1" applyFill="1"/>
    <xf numFmtId="0" fontId="41" fillId="12" borderId="17" xfId="0" applyFont="1" applyFill="1" applyBorder="1"/>
    <xf numFmtId="0" fontId="38" fillId="8" borderId="1" xfId="0" applyFont="1" applyFill="1" applyBorder="1"/>
    <xf numFmtId="171" fontId="38" fillId="0" borderId="1" xfId="0" applyNumberFormat="1" applyFont="1" applyBorder="1"/>
    <xf numFmtId="0" fontId="42" fillId="2" borderId="1" xfId="3" applyFont="1" applyFill="1" applyBorder="1"/>
    <xf numFmtId="0" fontId="48" fillId="2" borderId="1" xfId="3" applyFont="1" applyFill="1" applyBorder="1"/>
    <xf numFmtId="0" fontId="10" fillId="0" borderId="4" xfId="0" applyFont="1" applyBorder="1"/>
    <xf numFmtId="0" fontId="0" fillId="0" borderId="0" xfId="0" applyAlignment="1">
      <alignment vertical="top"/>
    </xf>
    <xf numFmtId="3" fontId="11" fillId="7" borderId="11" xfId="0" applyNumberFormat="1" applyFont="1" applyFill="1" applyBorder="1" applyProtection="1">
      <protection locked="0"/>
    </xf>
    <xf numFmtId="0" fontId="11" fillId="7" borderId="1" xfId="0" applyFont="1" applyFill="1" applyBorder="1" applyProtection="1">
      <protection locked="0"/>
    </xf>
    <xf numFmtId="0" fontId="11" fillId="7" borderId="1" xfId="0" applyFont="1" applyFill="1" applyBorder="1" applyAlignment="1" applyProtection="1">
      <alignment wrapText="1"/>
      <protection locked="0"/>
    </xf>
    <xf numFmtId="0" fontId="29" fillId="7" borderId="1" xfId="0" applyFont="1" applyFill="1" applyBorder="1" applyProtection="1">
      <protection locked="0"/>
    </xf>
    <xf numFmtId="0" fontId="29" fillId="7" borderId="0" xfId="0" applyFont="1" applyFill="1" applyProtection="1">
      <protection locked="0"/>
    </xf>
    <xf numFmtId="168" fontId="6" fillId="3" borderId="1" xfId="1" applyNumberFormat="1" applyFont="1" applyFill="1" applyBorder="1" applyAlignment="1" applyProtection="1">
      <alignment horizontal="right" vertical="center"/>
      <protection locked="0"/>
    </xf>
    <xf numFmtId="168" fontId="6" fillId="10" borderId="1" xfId="1" applyNumberFormat="1" applyFont="1" applyFill="1" applyBorder="1" applyAlignment="1" applyProtection="1">
      <alignment horizontal="right" vertical="center"/>
      <protection locked="0"/>
    </xf>
    <xf numFmtId="168" fontId="14" fillId="10" borderId="1" xfId="1" applyNumberFormat="1" applyFont="1" applyFill="1" applyBorder="1" applyAlignment="1" applyProtection="1">
      <alignment horizontal="right" vertical="center"/>
      <protection locked="0"/>
    </xf>
    <xf numFmtId="42" fontId="8" fillId="21" borderId="1" xfId="1" applyNumberFormat="1" applyFont="1" applyFill="1" applyBorder="1" applyAlignment="1" applyProtection="1">
      <alignment horizontal="right" vertical="center"/>
      <protection locked="0"/>
    </xf>
    <xf numFmtId="42" fontId="6" fillId="3" borderId="1" xfId="1" applyNumberFormat="1" applyFont="1" applyFill="1" applyBorder="1" applyAlignment="1" applyProtection="1">
      <alignment horizontal="right" vertical="center"/>
      <protection locked="0"/>
    </xf>
    <xf numFmtId="37" fontId="0" fillId="3" borderId="1" xfId="0" applyNumberFormat="1" applyFill="1" applyBorder="1" applyProtection="1">
      <protection locked="0"/>
    </xf>
    <xf numFmtId="0" fontId="0" fillId="3" borderId="1" xfId="0" applyFill="1" applyBorder="1" applyProtection="1">
      <protection locked="0"/>
    </xf>
    <xf numFmtId="169" fontId="0" fillId="3" borderId="1" xfId="5" applyNumberFormat="1" applyFont="1" applyFill="1" applyBorder="1" applyProtection="1">
      <protection locked="0"/>
    </xf>
    <xf numFmtId="0" fontId="0" fillId="3" borderId="1" xfId="5" applyNumberFormat="1" applyFont="1" applyFill="1" applyBorder="1" applyProtection="1">
      <protection locked="0"/>
    </xf>
    <xf numFmtId="0" fontId="0" fillId="3" borderId="1" xfId="0" applyFill="1" applyBorder="1" applyAlignment="1" applyProtection="1">
      <alignment wrapText="1"/>
      <protection locked="0"/>
    </xf>
    <xf numFmtId="1" fontId="39" fillId="2" borderId="1" xfId="3" applyNumberFormat="1" applyFont="1" applyFill="1" applyBorder="1"/>
    <xf numFmtId="0" fontId="0" fillId="8" borderId="19" xfId="0" applyFill="1" applyBorder="1" applyAlignment="1">
      <alignment horizontal="left" indent="1"/>
    </xf>
    <xf numFmtId="0" fontId="38" fillId="8" borderId="1" xfId="0" applyFont="1" applyFill="1" applyBorder="1" applyAlignment="1">
      <alignment horizontal="left" indent="2"/>
    </xf>
    <xf numFmtId="0" fontId="38" fillId="8" borderId="0" xfId="0" applyFont="1" applyFill="1" applyAlignment="1">
      <alignment horizontal="left" indent="2"/>
    </xf>
    <xf numFmtId="0" fontId="2" fillId="8" borderId="17" xfId="3" applyFont="1" applyFill="1" applyBorder="1"/>
    <xf numFmtId="0" fontId="11" fillId="25" borderId="0" xfId="0" applyFont="1" applyFill="1" applyAlignment="1">
      <alignment horizontal="left" wrapText="1" indent="1"/>
    </xf>
    <xf numFmtId="3" fontId="27" fillId="0" borderId="0" xfId="4" applyNumberFormat="1" applyFont="1"/>
    <xf numFmtId="168" fontId="6" fillId="2" borderId="0" xfId="1" applyNumberFormat="1" applyFont="1" applyFill="1" applyBorder="1" applyAlignment="1">
      <alignment horizontal="right" vertical="center"/>
    </xf>
    <xf numFmtId="168" fontId="6" fillId="2" borderId="1" xfId="1" applyNumberFormat="1" applyFont="1" applyFill="1" applyBorder="1" applyAlignment="1">
      <alignment horizontal="right" vertical="center"/>
    </xf>
    <xf numFmtId="9" fontId="6" fillId="2" borderId="1" xfId="2" applyFont="1" applyFill="1" applyBorder="1" applyAlignment="1">
      <alignment horizontal="right" vertical="center"/>
    </xf>
    <xf numFmtId="168" fontId="8" fillId="2" borderId="1" xfId="1" applyNumberFormat="1" applyFont="1" applyFill="1" applyBorder="1" applyAlignment="1">
      <alignment horizontal="right" vertical="center"/>
    </xf>
    <xf numFmtId="168" fontId="4" fillId="2" borderId="17" xfId="1" applyNumberFormat="1" applyFont="1" applyFill="1" applyBorder="1" applyAlignment="1">
      <alignment horizontal="right" vertical="center"/>
    </xf>
    <xf numFmtId="0" fontId="55" fillId="8" borderId="0" xfId="0" applyFont="1" applyFill="1" applyAlignment="1">
      <alignment horizontal="left" vertical="top" wrapText="1"/>
    </xf>
    <xf numFmtId="9" fontId="13" fillId="2" borderId="1" xfId="2" applyFont="1" applyFill="1" applyBorder="1" applyAlignment="1">
      <alignment horizontal="right" vertical="center"/>
    </xf>
    <xf numFmtId="0" fontId="3" fillId="8" borderId="19" xfId="0" applyFont="1" applyFill="1" applyBorder="1" applyAlignment="1">
      <alignment horizontal="left"/>
    </xf>
    <xf numFmtId="9" fontId="11" fillId="19" borderId="0" xfId="0" applyNumberFormat="1" applyFont="1" applyFill="1"/>
    <xf numFmtId="167" fontId="35" fillId="0" borderId="1" xfId="1" applyNumberFormat="1" applyFont="1" applyBorder="1" applyAlignment="1">
      <alignment horizontal="right" vertical="center"/>
    </xf>
    <xf numFmtId="167" fontId="34" fillId="0" borderId="1" xfId="1" applyNumberFormat="1" applyFont="1" applyBorder="1" applyAlignment="1">
      <alignment horizontal="right" vertical="center"/>
    </xf>
    <xf numFmtId="167" fontId="57" fillId="0" borderId="0" xfId="1" applyNumberFormat="1" applyFont="1" applyBorder="1"/>
    <xf numFmtId="167" fontId="57" fillId="0" borderId="1" xfId="1" applyNumberFormat="1" applyFont="1" applyBorder="1"/>
    <xf numFmtId="167" fontId="58" fillId="0" borderId="1" xfId="1" applyNumberFormat="1" applyFont="1" applyBorder="1" applyAlignment="1">
      <alignment horizontal="right" vertical="center"/>
    </xf>
    <xf numFmtId="167" fontId="59" fillId="0" borderId="0" xfId="1" applyNumberFormat="1" applyFont="1"/>
    <xf numFmtId="167" fontId="60" fillId="0" borderId="1" xfId="0" applyNumberFormat="1" applyFont="1" applyBorder="1"/>
    <xf numFmtId="167" fontId="58" fillId="0" borderId="2" xfId="1" applyNumberFormat="1" applyFont="1" applyBorder="1" applyAlignment="1">
      <alignment horizontal="right" vertical="center"/>
    </xf>
    <xf numFmtId="167" fontId="60" fillId="0" borderId="0" xfId="1" applyNumberFormat="1" applyFont="1" applyBorder="1"/>
    <xf numFmtId="167" fontId="60" fillId="0" borderId="1" xfId="1" applyNumberFormat="1" applyFont="1" applyBorder="1"/>
    <xf numFmtId="167" fontId="58" fillId="0" borderId="1" xfId="1" applyNumberFormat="1" applyFont="1" applyFill="1" applyBorder="1" applyAlignment="1">
      <alignment horizontal="right" vertical="center"/>
    </xf>
    <xf numFmtId="0" fontId="15" fillId="2" borderId="1" xfId="3" applyFont="1" applyFill="1" applyBorder="1"/>
    <xf numFmtId="1" fontId="41" fillId="12" borderId="1" xfId="0" applyNumberFormat="1" applyFont="1" applyFill="1" applyBorder="1"/>
    <xf numFmtId="0" fontId="11" fillId="0" borderId="0" xfId="0" applyFont="1"/>
    <xf numFmtId="167" fontId="0" fillId="2" borderId="0" xfId="0" applyNumberFormat="1" applyFill="1"/>
    <xf numFmtId="167" fontId="0" fillId="2" borderId="0" xfId="1" applyNumberFormat="1" applyFont="1" applyFill="1"/>
    <xf numFmtId="0" fontId="5" fillId="9" borderId="1" xfId="0" applyFont="1" applyFill="1" applyBorder="1" applyAlignment="1">
      <alignment wrapText="1"/>
    </xf>
    <xf numFmtId="167" fontId="6" fillId="9" borderId="3" xfId="0" applyNumberFormat="1" applyFont="1" applyFill="1" applyBorder="1" applyAlignment="1">
      <alignment horizontal="right" vertical="top" wrapText="1"/>
    </xf>
    <xf numFmtId="167" fontId="4" fillId="9" borderId="10" xfId="1" applyNumberFormat="1" applyFont="1" applyFill="1" applyBorder="1" applyAlignment="1">
      <alignment horizontal="right" vertical="center"/>
    </xf>
    <xf numFmtId="42" fontId="0" fillId="9" borderId="0" xfId="0" applyNumberFormat="1" applyFill="1"/>
    <xf numFmtId="0" fontId="0" fillId="8" borderId="17" xfId="0" applyFill="1" applyBorder="1" applyAlignment="1">
      <alignment wrapText="1"/>
    </xf>
    <xf numFmtId="167" fontId="9" fillId="16" borderId="1" xfId="2" applyNumberFormat="1" applyFont="1" applyFill="1" applyBorder="1"/>
    <xf numFmtId="9" fontId="0" fillId="0" borderId="1" xfId="2" applyFont="1" applyBorder="1"/>
    <xf numFmtId="167" fontId="57" fillId="0" borderId="2" xfId="1" applyNumberFormat="1" applyFont="1" applyBorder="1"/>
    <xf numFmtId="167" fontId="60" fillId="0" borderId="17" xfId="1" applyNumberFormat="1" applyFont="1" applyBorder="1"/>
    <xf numFmtId="0" fontId="0" fillId="8" borderId="15" xfId="0" applyFill="1" applyBorder="1" applyAlignment="1">
      <alignment wrapText="1"/>
    </xf>
    <xf numFmtId="9" fontId="9" fillId="16" borderId="11" xfId="2" applyFont="1" applyFill="1" applyBorder="1"/>
    <xf numFmtId="42" fontId="0" fillId="18" borderId="0" xfId="0" applyNumberFormat="1" applyFill="1" applyAlignment="1">
      <alignment horizontal="left"/>
    </xf>
    <xf numFmtId="0" fontId="30" fillId="8" borderId="0" xfId="3" applyFont="1" applyFill="1"/>
    <xf numFmtId="0" fontId="29" fillId="19" borderId="0" xfId="3" applyFont="1" applyFill="1"/>
    <xf numFmtId="2" fontId="41" fillId="12" borderId="1" xfId="3" applyNumberFormat="1" applyFont="1" applyFill="1" applyBorder="1"/>
    <xf numFmtId="0" fontId="29" fillId="7" borderId="1" xfId="1" applyNumberFormat="1" applyFont="1" applyFill="1" applyBorder="1" applyAlignment="1" applyProtection="1">
      <alignment horizontal="left"/>
      <protection locked="0"/>
    </xf>
    <xf numFmtId="9" fontId="29" fillId="19" borderId="0" xfId="0" applyNumberFormat="1" applyFont="1" applyFill="1"/>
    <xf numFmtId="10" fontId="29" fillId="19" borderId="0" xfId="0" applyNumberFormat="1" applyFont="1" applyFill="1"/>
    <xf numFmtId="0" fontId="29" fillId="19" borderId="0" xfId="0" applyFont="1" applyFill="1"/>
    <xf numFmtId="0" fontId="3" fillId="17" borderId="0" xfId="0" applyFont="1" applyFill="1" applyAlignment="1">
      <alignment wrapText="1"/>
    </xf>
    <xf numFmtId="0" fontId="38" fillId="8" borderId="0" xfId="0" applyFont="1" applyFill="1" applyAlignment="1">
      <alignment wrapText="1"/>
    </xf>
    <xf numFmtId="0" fontId="53" fillId="12" borderId="0" xfId="0" applyFont="1" applyFill="1" applyAlignment="1">
      <alignment wrapText="1"/>
    </xf>
    <xf numFmtId="0" fontId="30" fillId="8" borderId="1" xfId="0" applyFont="1" applyFill="1" applyBorder="1" applyAlignment="1">
      <alignment wrapText="1"/>
    </xf>
    <xf numFmtId="0" fontId="0" fillId="18" borderId="15" xfId="0" applyFill="1" applyBorder="1" applyAlignment="1">
      <alignment horizontal="left" vertical="center"/>
    </xf>
    <xf numFmtId="172" fontId="30" fillId="0" borderId="1" xfId="5" applyNumberFormat="1" applyFont="1" applyBorder="1" applyAlignment="1">
      <alignment horizontal="right" vertical="center" wrapText="1"/>
    </xf>
    <xf numFmtId="170" fontId="0" fillId="0" borderId="0" xfId="1" applyNumberFormat="1" applyFont="1"/>
    <xf numFmtId="0" fontId="0" fillId="0" borderId="11" xfId="0" applyBorder="1"/>
    <xf numFmtId="44" fontId="31" fillId="16" borderId="11" xfId="1" applyFont="1" applyFill="1" applyBorder="1"/>
    <xf numFmtId="175" fontId="0" fillId="0" borderId="0" xfId="3" applyNumberFormat="1" applyFont="1"/>
    <xf numFmtId="173" fontId="61" fillId="16" borderId="0" xfId="0" applyNumberFormat="1" applyFont="1" applyFill="1" applyAlignment="1">
      <alignment wrapText="1"/>
    </xf>
    <xf numFmtId="0" fontId="30" fillId="8" borderId="0" xfId="0" applyFont="1" applyFill="1" applyAlignment="1">
      <alignment horizontal="left" indent="1"/>
    </xf>
    <xf numFmtId="0" fontId="5" fillId="8" borderId="15" xfId="0" applyFont="1" applyFill="1" applyBorder="1" applyAlignment="1">
      <alignment horizontal="left"/>
    </xf>
    <xf numFmtId="0" fontId="11" fillId="9" borderId="0" xfId="0" applyFont="1" applyFill="1"/>
    <xf numFmtId="167" fontId="31" fillId="16" borderId="11" xfId="1" applyNumberFormat="1" applyFont="1" applyFill="1" applyBorder="1"/>
    <xf numFmtId="176" fontId="9" fillId="16" borderId="11" xfId="1" applyNumberFormat="1" applyFont="1" applyFill="1" applyBorder="1"/>
    <xf numFmtId="176" fontId="31" fillId="16" borderId="1" xfId="2" applyNumberFormat="1" applyFont="1" applyFill="1" applyBorder="1"/>
    <xf numFmtId="0" fontId="3" fillId="8" borderId="0" xfId="0" applyFont="1" applyFill="1" applyAlignment="1">
      <alignment horizontal="left" indent="1"/>
    </xf>
    <xf numFmtId="9" fontId="31" fillId="0" borderId="1" xfId="2" applyFont="1" applyFill="1" applyBorder="1"/>
    <xf numFmtId="164" fontId="0" fillId="9" borderId="1" xfId="3" applyNumberFormat="1" applyFont="1" applyFill="1" applyBorder="1"/>
    <xf numFmtId="175" fontId="0" fillId="9" borderId="1" xfId="3" applyNumberFormat="1" applyFont="1" applyFill="1" applyBorder="1"/>
    <xf numFmtId="0" fontId="63" fillId="0" borderId="0" xfId="4" applyFont="1"/>
    <xf numFmtId="0" fontId="11" fillId="19" borderId="0" xfId="0" applyFont="1" applyFill="1" applyAlignment="1">
      <alignment horizontal="center"/>
    </xf>
    <xf numFmtId="0" fontId="11" fillId="12" borderId="0" xfId="0" applyFont="1" applyFill="1" applyAlignment="1">
      <alignment horizontal="center"/>
    </xf>
    <xf numFmtId="0" fontId="11" fillId="7" borderId="2" xfId="0" applyFont="1" applyFill="1" applyBorder="1" applyProtection="1">
      <protection locked="0"/>
    </xf>
    <xf numFmtId="170" fontId="64" fillId="16" borderId="0" xfId="2" applyNumberFormat="1" applyFont="1" applyFill="1"/>
    <xf numFmtId="0" fontId="0" fillId="8" borderId="0" xfId="3" applyFont="1" applyFill="1" applyAlignment="1">
      <alignment wrapText="1"/>
    </xf>
    <xf numFmtId="170" fontId="36" fillId="12" borderId="0" xfId="0" applyNumberFormat="1" applyFont="1" applyFill="1"/>
    <xf numFmtId="0" fontId="3" fillId="8" borderId="17" xfId="0" applyFont="1" applyFill="1" applyBorder="1" applyAlignment="1">
      <alignment wrapText="1"/>
    </xf>
    <xf numFmtId="0" fontId="15" fillId="8" borderId="2" xfId="0" applyFont="1" applyFill="1" applyBorder="1" applyAlignment="1">
      <alignment horizontal="left" indent="1"/>
    </xf>
    <xf numFmtId="0" fontId="0" fillId="8" borderId="2" xfId="0" applyFill="1" applyBorder="1" applyAlignment="1">
      <alignment horizontal="left" indent="1"/>
    </xf>
    <xf numFmtId="0" fontId="53" fillId="19" borderId="0" xfId="0" applyFont="1" applyFill="1"/>
    <xf numFmtId="0" fontId="3" fillId="23" borderId="1" xfId="0" applyFont="1" applyFill="1" applyBorder="1"/>
    <xf numFmtId="9" fontId="0" fillId="23" borderId="1" xfId="2" applyFont="1" applyFill="1" applyBorder="1" applyProtection="1"/>
    <xf numFmtId="3" fontId="0" fillId="2" borderId="2" xfId="0" applyNumberFormat="1" applyFill="1" applyBorder="1"/>
    <xf numFmtId="3" fontId="0" fillId="2" borderId="1" xfId="0" applyNumberFormat="1" applyFill="1" applyBorder="1"/>
    <xf numFmtId="9" fontId="3" fillId="2" borderId="1" xfId="0" applyNumberFormat="1" applyFont="1" applyFill="1" applyBorder="1"/>
    <xf numFmtId="3" fontId="30" fillId="2" borderId="1" xfId="0" applyNumberFormat="1" applyFont="1" applyFill="1" applyBorder="1"/>
    <xf numFmtId="0" fontId="25" fillId="0" borderId="19" xfId="3" applyFont="1" applyBorder="1"/>
    <xf numFmtId="0" fontId="4" fillId="24" borderId="1" xfId="0" applyFont="1" applyFill="1" applyBorder="1" applyAlignment="1">
      <alignment wrapText="1"/>
    </xf>
    <xf numFmtId="0" fontId="22" fillId="23" borderId="1" xfId="0" applyFont="1" applyFill="1" applyBorder="1" applyAlignment="1">
      <alignment wrapText="1"/>
    </xf>
    <xf numFmtId="0" fontId="0" fillId="23" borderId="1" xfId="0" applyFill="1" applyBorder="1" applyAlignment="1">
      <alignment wrapText="1"/>
    </xf>
    <xf numFmtId="0" fontId="10" fillId="23" borderId="1" xfId="0" applyFont="1" applyFill="1" applyBorder="1" applyAlignment="1">
      <alignment wrapText="1"/>
    </xf>
    <xf numFmtId="168" fontId="8" fillId="23" borderId="1" xfId="1" applyNumberFormat="1" applyFont="1" applyFill="1" applyBorder="1" applyAlignment="1" applyProtection="1">
      <alignment horizontal="right" vertical="center"/>
    </xf>
    <xf numFmtId="168" fontId="6" fillId="23" borderId="1" xfId="1" applyNumberFormat="1" applyFont="1" applyFill="1" applyBorder="1" applyAlignment="1" applyProtection="1">
      <alignment horizontal="right" vertical="center"/>
    </xf>
    <xf numFmtId="168" fontId="14" fillId="23" borderId="1" xfId="1" applyNumberFormat="1" applyFont="1" applyFill="1" applyBorder="1" applyAlignment="1" applyProtection="1">
      <alignment horizontal="right" vertical="center"/>
    </xf>
    <xf numFmtId="168" fontId="8" fillId="24" borderId="1" xfId="1" applyNumberFormat="1" applyFont="1" applyFill="1" applyBorder="1" applyAlignment="1" applyProtection="1">
      <alignment horizontal="right" vertical="center"/>
    </xf>
    <xf numFmtId="168" fontId="44" fillId="24" borderId="1" xfId="1" applyNumberFormat="1" applyFont="1" applyFill="1" applyBorder="1" applyAlignment="1" applyProtection="1">
      <alignment horizontal="right" vertical="center"/>
    </xf>
    <xf numFmtId="0" fontId="10" fillId="26" borderId="1" xfId="0" applyFont="1" applyFill="1" applyBorder="1"/>
    <xf numFmtId="168" fontId="62" fillId="23" borderId="1" xfId="1" applyNumberFormat="1" applyFont="1" applyFill="1" applyBorder="1" applyAlignment="1" applyProtection="1">
      <alignment horizontal="right" vertical="center"/>
    </xf>
    <xf numFmtId="0" fontId="5" fillId="23" borderId="1" xfId="0" applyFont="1" applyFill="1" applyBorder="1" applyAlignment="1">
      <alignment wrapText="1"/>
    </xf>
    <xf numFmtId="42" fontId="8" fillId="24" borderId="1" xfId="1" applyNumberFormat="1" applyFont="1" applyFill="1" applyBorder="1" applyAlignment="1" applyProtection="1">
      <alignment horizontal="right" vertical="center"/>
    </xf>
    <xf numFmtId="0" fontId="0" fillId="18" borderId="15" xfId="0" applyFill="1" applyBorder="1" applyAlignment="1">
      <alignment horizontal="left"/>
    </xf>
    <xf numFmtId="0" fontId="0" fillId="18" borderId="0" xfId="0" applyFill="1" applyAlignment="1">
      <alignment horizontal="left"/>
    </xf>
    <xf numFmtId="0" fontId="5" fillId="23" borderId="2" xfId="0" applyFont="1" applyFill="1" applyBorder="1" applyAlignment="1">
      <alignment wrapText="1"/>
    </xf>
    <xf numFmtId="167" fontId="6" fillId="23" borderId="1" xfId="1" applyNumberFormat="1" applyFont="1" applyFill="1" applyBorder="1" applyAlignment="1" applyProtection="1">
      <alignment horizontal="right" vertical="center"/>
    </xf>
    <xf numFmtId="1" fontId="0" fillId="18" borderId="0" xfId="0" applyNumberFormat="1" applyFill="1"/>
    <xf numFmtId="37" fontId="0" fillId="23" borderId="1" xfId="0" applyNumberFormat="1" applyFill="1" applyBorder="1"/>
    <xf numFmtId="1" fontId="0" fillId="23" borderId="1" xfId="0" applyNumberFormat="1" applyFill="1" applyBorder="1"/>
    <xf numFmtId="0" fontId="0" fillId="23" borderId="1" xfId="0" applyFill="1" applyBorder="1"/>
    <xf numFmtId="171" fontId="0" fillId="2" borderId="1" xfId="0" applyNumberFormat="1" applyFill="1" applyBorder="1"/>
    <xf numFmtId="0" fontId="22" fillId="0" borderId="0" xfId="0" applyFont="1"/>
    <xf numFmtId="171" fontId="0" fillId="2" borderId="1" xfId="5" applyNumberFormat="1" applyFont="1" applyFill="1" applyBorder="1" applyProtection="1"/>
    <xf numFmtId="175" fontId="0" fillId="23" borderId="1" xfId="5" applyNumberFormat="1" applyFont="1" applyFill="1" applyBorder="1" applyProtection="1"/>
    <xf numFmtId="0" fontId="0" fillId="23" borderId="17" xfId="5" applyNumberFormat="1" applyFont="1" applyFill="1" applyBorder="1" applyProtection="1"/>
    <xf numFmtId="0" fontId="0" fillId="8" borderId="2" xfId="3" applyFont="1" applyFill="1" applyBorder="1" applyAlignment="1">
      <alignment horizontal="right"/>
    </xf>
    <xf numFmtId="0" fontId="0" fillId="8" borderId="18" xfId="3" applyFont="1" applyFill="1" applyBorder="1" applyAlignment="1">
      <alignment horizontal="right"/>
    </xf>
    <xf numFmtId="0" fontId="22" fillId="8" borderId="2" xfId="3" applyFont="1" applyFill="1" applyBorder="1" applyAlignment="1">
      <alignment horizontal="right"/>
    </xf>
    <xf numFmtId="0" fontId="0" fillId="8" borderId="1" xfId="3" applyFont="1" applyFill="1" applyBorder="1" applyAlignment="1">
      <alignment horizontal="right"/>
    </xf>
    <xf numFmtId="0" fontId="22" fillId="8" borderId="1" xfId="3" applyFont="1" applyFill="1" applyBorder="1" applyAlignment="1">
      <alignment horizontal="right"/>
    </xf>
    <xf numFmtId="0" fontId="19" fillId="0" borderId="1" xfId="0" applyFont="1" applyBorder="1"/>
    <xf numFmtId="0" fontId="45" fillId="8" borderId="1" xfId="0" applyFont="1" applyFill="1" applyBorder="1" applyAlignment="1">
      <alignment horizontal="left" vertical="center"/>
    </xf>
    <xf numFmtId="0" fontId="42" fillId="8" borderId="1" xfId="0" applyFont="1" applyFill="1" applyBorder="1" applyAlignment="1">
      <alignment horizontal="left" vertical="center"/>
    </xf>
    <xf numFmtId="0" fontId="15" fillId="8" borderId="1" xfId="0" applyFont="1" applyFill="1" applyBorder="1" applyAlignment="1">
      <alignment horizontal="left" indent="1"/>
    </xf>
    <xf numFmtId="0" fontId="15" fillId="8" borderId="1" xfId="0" applyFont="1" applyFill="1" applyBorder="1" applyAlignment="1">
      <alignment horizontal="left" vertical="center" indent="1"/>
    </xf>
    <xf numFmtId="0" fontId="5" fillId="8" borderId="2" xfId="0" applyFont="1" applyFill="1" applyBorder="1" applyAlignment="1">
      <alignment wrapText="1"/>
    </xf>
    <xf numFmtId="0" fontId="45" fillId="18" borderId="0" xfId="0" applyFont="1" applyFill="1"/>
    <xf numFmtId="0" fontId="19" fillId="0" borderId="1" xfId="0" applyFont="1" applyBorder="1" applyAlignment="1">
      <alignment wrapText="1"/>
    </xf>
    <xf numFmtId="0" fontId="5" fillId="13" borderId="1" xfId="0" applyFont="1" applyFill="1" applyBorder="1"/>
    <xf numFmtId="0" fontId="15" fillId="13" borderId="1" xfId="0" applyFont="1" applyFill="1" applyBorder="1"/>
    <xf numFmtId="0" fontId="4" fillId="13" borderId="1" xfId="0" applyFont="1" applyFill="1" applyBorder="1" applyAlignment="1">
      <alignment horizontal="right"/>
    </xf>
    <xf numFmtId="0" fontId="5" fillId="13" borderId="1" xfId="0" applyFont="1" applyFill="1" applyBorder="1" applyAlignment="1">
      <alignment wrapText="1"/>
    </xf>
    <xf numFmtId="0" fontId="22" fillId="8" borderId="1" xfId="0" applyFont="1" applyFill="1" applyBorder="1" applyAlignment="1">
      <alignment wrapText="1"/>
    </xf>
    <xf numFmtId="0" fontId="10" fillId="8" borderId="1" xfId="0" applyFont="1" applyFill="1" applyBorder="1" applyAlignment="1">
      <alignment wrapText="1"/>
    </xf>
    <xf numFmtId="0" fontId="25" fillId="0" borderId="12" xfId="0" applyFont="1" applyBorder="1"/>
    <xf numFmtId="0" fontId="0" fillId="0" borderId="0" xfId="0" applyProtection="1">
      <protection locked="0"/>
    </xf>
    <xf numFmtId="168" fontId="8" fillId="4" borderId="1" xfId="1" applyNumberFormat="1" applyFont="1" applyFill="1" applyBorder="1" applyAlignment="1" applyProtection="1">
      <alignment horizontal="right" vertical="center"/>
      <protection locked="0"/>
    </xf>
    <xf numFmtId="167" fontId="0" fillId="3" borderId="1" xfId="0" applyNumberFormat="1" applyFill="1" applyBorder="1" applyProtection="1">
      <protection locked="0"/>
    </xf>
    <xf numFmtId="0" fontId="3" fillId="23" borderId="1" xfId="0" applyFont="1" applyFill="1" applyBorder="1" applyAlignment="1">
      <alignment wrapText="1"/>
    </xf>
    <xf numFmtId="2" fontId="0" fillId="23" borderId="4" xfId="0" applyNumberFormat="1" applyFill="1" applyBorder="1"/>
    <xf numFmtId="2" fontId="1" fillId="23" borderId="1" xfId="0" applyNumberFormat="1" applyFont="1" applyFill="1" applyBorder="1"/>
    <xf numFmtId="0" fontId="1" fillId="0" borderId="1" xfId="0" applyFont="1" applyBorder="1"/>
    <xf numFmtId="0" fontId="1" fillId="8" borderId="1" xfId="0" applyFont="1" applyFill="1" applyBorder="1"/>
    <xf numFmtId="0" fontId="1" fillId="8" borderId="1" xfId="0" applyFont="1" applyFill="1" applyBorder="1" applyAlignment="1">
      <alignment wrapText="1"/>
    </xf>
    <xf numFmtId="0" fontId="1" fillId="8" borderId="1" xfId="3" applyFont="1" applyFill="1" applyBorder="1"/>
    <xf numFmtId="0" fontId="1" fillId="9" borderId="0" xfId="3" applyFont="1" applyFill="1"/>
    <xf numFmtId="0" fontId="1" fillId="8" borderId="0" xfId="3" applyFont="1" applyFill="1"/>
    <xf numFmtId="0" fontId="49" fillId="0" borderId="0" xfId="0" applyFont="1"/>
    <xf numFmtId="0" fontId="1" fillId="0" borderId="0" xfId="0" applyFont="1"/>
    <xf numFmtId="0" fontId="38" fillId="0" borderId="0" xfId="0" applyFont="1" applyAlignment="1">
      <alignment wrapText="1"/>
    </xf>
    <xf numFmtId="176" fontId="11" fillId="0" borderId="0" xfId="0" applyNumberFormat="1" applyFont="1" applyAlignment="1">
      <alignment wrapText="1"/>
    </xf>
    <xf numFmtId="0" fontId="38" fillId="0" borderId="0" xfId="0" applyFont="1"/>
    <xf numFmtId="176" fontId="11" fillId="0" borderId="0" xfId="0" applyNumberFormat="1" applyFont="1"/>
    <xf numFmtId="0" fontId="10" fillId="0" borderId="0" xfId="0" applyFont="1"/>
    <xf numFmtId="0" fontId="29" fillId="12" borderId="0" xfId="0" applyFont="1" applyFill="1"/>
    <xf numFmtId="1" fontId="61" fillId="16" borderId="0" xfId="0" applyNumberFormat="1" applyFont="1" applyFill="1"/>
    <xf numFmtId="0" fontId="30" fillId="8" borderId="2" xfId="0" applyFont="1" applyFill="1" applyBorder="1" applyAlignment="1">
      <alignment horizontal="left"/>
    </xf>
    <xf numFmtId="1" fontId="61" fillId="16" borderId="4" xfId="0" applyNumberFormat="1" applyFont="1" applyFill="1" applyBorder="1"/>
    <xf numFmtId="9" fontId="29" fillId="7" borderId="1" xfId="0" applyNumberFormat="1" applyFont="1" applyFill="1" applyBorder="1" applyProtection="1">
      <protection locked="0"/>
    </xf>
    <xf numFmtId="0" fontId="65" fillId="0" borderId="0" xfId="0" applyFont="1" applyAlignment="1">
      <alignment wrapText="1"/>
    </xf>
    <xf numFmtId="0" fontId="0" fillId="0" borderId="9" xfId="0" applyBorder="1" applyAlignment="1">
      <alignment horizontal="center" vertical="top" wrapText="1"/>
    </xf>
    <xf numFmtId="0" fontId="0" fillId="0" borderId="10" xfId="0" applyBorder="1" applyAlignment="1">
      <alignment horizontal="center" vertical="top" wrapText="1"/>
    </xf>
    <xf numFmtId="0" fontId="0" fillId="0" borderId="0" xfId="0" applyAlignment="1">
      <alignment horizontal="center" vertical="top" wrapText="1"/>
    </xf>
    <xf numFmtId="0" fontId="0" fillId="0" borderId="20" xfId="0" applyBorder="1" applyAlignment="1">
      <alignment horizontal="center" vertical="top" wrapText="1"/>
    </xf>
    <xf numFmtId="0" fontId="0" fillId="18" borderId="15" xfId="0" applyFill="1" applyBorder="1" applyAlignment="1">
      <alignment horizontal="left"/>
    </xf>
    <xf numFmtId="0" fontId="0" fillId="18" borderId="0" xfId="0" applyFill="1" applyAlignment="1">
      <alignment horizontal="left"/>
    </xf>
    <xf numFmtId="0" fontId="0" fillId="11" borderId="15" xfId="0" applyFill="1" applyBorder="1" applyAlignment="1">
      <alignment horizontal="left"/>
    </xf>
    <xf numFmtId="0" fontId="0" fillId="11" borderId="0" xfId="0" applyFill="1" applyAlignment="1">
      <alignment horizontal="left"/>
    </xf>
    <xf numFmtId="0" fontId="0" fillId="8" borderId="18" xfId="3" applyFont="1" applyFill="1" applyBorder="1" applyAlignment="1">
      <alignment horizontal="right"/>
    </xf>
    <xf numFmtId="0" fontId="0" fillId="8" borderId="10" xfId="3" applyFont="1" applyFill="1" applyBorder="1" applyAlignment="1">
      <alignment horizontal="right"/>
    </xf>
    <xf numFmtId="0" fontId="0" fillId="8" borderId="12" xfId="3" applyFont="1" applyFill="1" applyBorder="1" applyAlignment="1">
      <alignment horizontal="right"/>
    </xf>
    <xf numFmtId="0" fontId="0" fillId="8" borderId="14" xfId="3" applyFont="1" applyFill="1" applyBorder="1" applyAlignment="1">
      <alignment horizontal="right"/>
    </xf>
    <xf numFmtId="0" fontId="0" fillId="18" borderId="15" xfId="0" applyFill="1" applyBorder="1"/>
    <xf numFmtId="0" fontId="0" fillId="18" borderId="0" xfId="0" applyFill="1"/>
    <xf numFmtId="0" fontId="0" fillId="0" borderId="0" xfId="0" applyAlignment="1">
      <alignment horizontal="left" vertical="top" wrapText="1"/>
    </xf>
    <xf numFmtId="0" fontId="3" fillId="6" borderId="1" xfId="0" applyFont="1" applyFill="1" applyBorder="1"/>
    <xf numFmtId="0" fontId="11" fillId="7" borderId="11" xfId="0" applyFont="1" applyFill="1" applyBorder="1" applyProtection="1">
      <protection locked="0"/>
    </xf>
    <xf numFmtId="0" fontId="0" fillId="18" borderId="0" xfId="0" applyFill="1" applyAlignment="1">
      <alignment horizontal="left" wrapText="1"/>
    </xf>
    <xf numFmtId="1" fontId="0" fillId="18" borderId="15" xfId="0" applyNumberFormat="1" applyFill="1" applyBorder="1" applyAlignment="1">
      <alignment horizontal="left" wrapText="1"/>
    </xf>
    <xf numFmtId="1" fontId="0" fillId="18" borderId="0" xfId="0" applyNumberFormat="1" applyFill="1" applyAlignment="1">
      <alignment horizontal="left" wrapText="1"/>
    </xf>
    <xf numFmtId="0" fontId="3" fillId="0" borderId="15" xfId="0" applyFont="1" applyBorder="1"/>
    <xf numFmtId="0" fontId="0" fillId="0" borderId="13" xfId="0" applyBorder="1"/>
    <xf numFmtId="0" fontId="3" fillId="17" borderId="18" xfId="0" applyFont="1" applyFill="1" applyBorder="1"/>
    <xf numFmtId="0" fontId="16" fillId="2" borderId="0" xfId="0" applyFont="1" applyFill="1" applyAlignment="1">
      <alignment horizontal="left" vertical="top" wrapText="1"/>
    </xf>
    <xf numFmtId="0" fontId="0" fillId="18" borderId="0" xfId="0" applyFill="1" applyAlignment="1">
      <alignment horizontal="left" vertical="top" wrapText="1"/>
    </xf>
    <xf numFmtId="0" fontId="0" fillId="18" borderId="14" xfId="0" applyFill="1" applyBorder="1" applyAlignment="1">
      <alignment horizontal="left" vertical="top" wrapText="1"/>
    </xf>
    <xf numFmtId="0" fontId="0" fillId="18" borderId="11" xfId="0" applyFill="1" applyBorder="1" applyAlignment="1">
      <alignment horizontal="left" vertical="top" wrapText="1"/>
    </xf>
    <xf numFmtId="0" fontId="0" fillId="18" borderId="4" xfId="0" applyFill="1" applyBorder="1" applyAlignment="1">
      <alignment horizontal="left" vertical="top" wrapText="1"/>
    </xf>
    <xf numFmtId="0" fontId="0" fillId="18" borderId="1" xfId="0" applyFill="1" applyBorder="1" applyAlignment="1">
      <alignment horizontal="left" vertical="top" wrapText="1"/>
    </xf>
    <xf numFmtId="0" fontId="0" fillId="18" borderId="10" xfId="0" applyFill="1" applyBorder="1" applyAlignment="1">
      <alignment horizontal="left" vertical="top" wrapText="1"/>
    </xf>
    <xf numFmtId="0" fontId="0" fillId="18" borderId="17" xfId="0" applyFill="1" applyBorder="1" applyAlignment="1">
      <alignment horizontal="left" vertical="top" wrapText="1"/>
    </xf>
    <xf numFmtId="0" fontId="32" fillId="18" borderId="1" xfId="0" applyFont="1" applyFill="1" applyBorder="1"/>
    <xf numFmtId="0" fontId="32" fillId="18" borderId="11" xfId="0" applyFont="1" applyFill="1" applyBorder="1"/>
    <xf numFmtId="0" fontId="0" fillId="0" borderId="0" xfId="0"/>
    <xf numFmtId="42" fontId="0" fillId="18" borderId="0" xfId="0" applyNumberFormat="1" applyFill="1" applyAlignment="1">
      <alignment horizontal="left" indent="2"/>
    </xf>
    <xf numFmtId="42" fontId="0" fillId="18" borderId="0" xfId="0" applyNumberFormat="1" applyFill="1" applyAlignment="1">
      <alignment horizontal="left" indent="1"/>
    </xf>
    <xf numFmtId="0" fontId="0" fillId="0" borderId="17" xfId="0" applyBorder="1" applyAlignment="1">
      <alignment horizontal="center" vertical="center" textRotation="90" wrapText="1"/>
    </xf>
    <xf numFmtId="0" fontId="0" fillId="0" borderId="19" xfId="0" applyBorder="1" applyAlignment="1">
      <alignment horizontal="center" vertical="center" textRotation="90" wrapText="1"/>
    </xf>
    <xf numFmtId="0" fontId="0" fillId="0" borderId="11" xfId="0" applyBorder="1" applyAlignment="1">
      <alignment horizontal="center" vertical="center" textRotation="90" wrapText="1"/>
    </xf>
    <xf numFmtId="0" fontId="5" fillId="8" borderId="2" xfId="0" applyFont="1" applyFill="1" applyBorder="1"/>
    <xf numFmtId="0" fontId="5" fillId="8" borderId="3" xfId="0" applyFont="1" applyFill="1" applyBorder="1"/>
    <xf numFmtId="0" fontId="5" fillId="8" borderId="4" xfId="0" applyFont="1" applyFill="1" applyBorder="1"/>
    <xf numFmtId="0" fontId="5" fillId="8" borderId="18" xfId="0" applyFont="1" applyFill="1" applyBorder="1"/>
    <xf numFmtId="0" fontId="0" fillId="8" borderId="0" xfId="0" applyFill="1" applyAlignment="1">
      <alignment wrapText="1"/>
    </xf>
    <xf numFmtId="0" fontId="0" fillId="8" borderId="18" xfId="0" applyFill="1" applyBorder="1"/>
    <xf numFmtId="0" fontId="0" fillId="8" borderId="9" xfId="0" applyFill="1" applyBorder="1"/>
    <xf numFmtId="0" fontId="0" fillId="8" borderId="10" xfId="0" applyFill="1" applyBorder="1"/>
    <xf numFmtId="0" fontId="0" fillId="8" borderId="12" xfId="0" applyFill="1" applyBorder="1"/>
    <xf numFmtId="0" fontId="0" fillId="8" borderId="13" xfId="0" applyFill="1" applyBorder="1"/>
    <xf numFmtId="0" fontId="0" fillId="8" borderId="14" xfId="0" applyFill="1" applyBorder="1"/>
    <xf numFmtId="0" fontId="0" fillId="0" borderId="20" xfId="0" applyBorder="1" applyAlignment="1">
      <alignment horizontal="center" vertical="center" textRotation="90"/>
    </xf>
    <xf numFmtId="0" fontId="0" fillId="18" borderId="0" xfId="0" applyFill="1" applyAlignment="1">
      <alignment vertical="top"/>
    </xf>
    <xf numFmtId="174" fontId="0" fillId="18" borderId="0" xfId="0" applyNumberFormat="1" applyFill="1" applyAlignment="1">
      <alignment vertical="top"/>
    </xf>
    <xf numFmtId="0" fontId="5" fillId="0" borderId="1" xfId="0" applyFont="1" applyBorder="1"/>
    <xf numFmtId="0" fontId="20" fillId="2" borderId="0" xfId="0" applyFont="1" applyFill="1" applyAlignment="1">
      <alignment vertical="top"/>
    </xf>
    <xf numFmtId="0" fontId="3" fillId="8" borderId="0" xfId="0" applyFont="1" applyFill="1"/>
    <xf numFmtId="0" fontId="0" fillId="8" borderId="0" xfId="0" applyFill="1"/>
    <xf numFmtId="165" fontId="6" fillId="9" borderId="2" xfId="0" applyNumberFormat="1" applyFont="1" applyFill="1" applyBorder="1" applyAlignment="1">
      <alignment horizontal="right" vertical="center"/>
    </xf>
    <xf numFmtId="165" fontId="6" fillId="9" borderId="4" xfId="0" applyNumberFormat="1" applyFont="1" applyFill="1" applyBorder="1" applyAlignment="1">
      <alignment horizontal="right" vertical="center"/>
    </xf>
    <xf numFmtId="165" fontId="8" fillId="14" borderId="2" xfId="0" applyNumberFormat="1" applyFont="1" applyFill="1" applyBorder="1" applyAlignment="1">
      <alignment horizontal="right" vertical="center"/>
    </xf>
    <xf numFmtId="165" fontId="8" fillId="14" borderId="4" xfId="0" applyNumberFormat="1" applyFont="1" applyFill="1" applyBorder="1" applyAlignment="1">
      <alignment horizontal="right" vertical="center"/>
    </xf>
    <xf numFmtId="0" fontId="17" fillId="9" borderId="12" xfId="0" applyFont="1" applyFill="1" applyBorder="1" applyAlignment="1">
      <alignment horizontal="left"/>
    </xf>
    <xf numFmtId="0" fontId="17" fillId="9" borderId="13" xfId="0" applyFont="1" applyFill="1" applyBorder="1" applyAlignment="1">
      <alignment horizontal="left"/>
    </xf>
    <xf numFmtId="0" fontId="0" fillId="9" borderId="13" xfId="0" applyFill="1" applyBorder="1"/>
    <xf numFmtId="0" fontId="0" fillId="9" borderId="14" xfId="0" applyFill="1" applyBorder="1"/>
    <xf numFmtId="0" fontId="4" fillId="8" borderId="2" xfId="0" applyFont="1" applyFill="1" applyBorder="1" applyAlignment="1">
      <alignment horizontal="right"/>
    </xf>
    <xf numFmtId="0" fontId="4" fillId="8" borderId="3" xfId="0" applyFont="1" applyFill="1" applyBorder="1" applyAlignment="1">
      <alignment horizontal="right"/>
    </xf>
    <xf numFmtId="0" fontId="4" fillId="8" borderId="4" xfId="0" applyFont="1" applyFill="1" applyBorder="1" applyAlignment="1">
      <alignment horizontal="right"/>
    </xf>
    <xf numFmtId="0" fontId="18" fillId="9" borderId="2" xfId="0" applyFont="1" applyFill="1" applyBorder="1" applyAlignment="1">
      <alignment horizontal="left"/>
    </xf>
    <xf numFmtId="0" fontId="4" fillId="9" borderId="3" xfId="0" applyFont="1" applyFill="1" applyBorder="1" applyAlignment="1">
      <alignment horizontal="left"/>
    </xf>
    <xf numFmtId="0" fontId="0" fillId="9" borderId="3" xfId="0" applyFill="1" applyBorder="1"/>
    <xf numFmtId="0" fontId="15" fillId="9" borderId="13" xfId="0" applyFont="1" applyFill="1" applyBorder="1"/>
    <xf numFmtId="0" fontId="15" fillId="9" borderId="14" xfId="0" applyFont="1" applyFill="1" applyBorder="1"/>
    <xf numFmtId="0" fontId="15" fillId="9" borderId="9" xfId="0" applyFont="1" applyFill="1" applyBorder="1"/>
    <xf numFmtId="0" fontId="15" fillId="9" borderId="10" xfId="0" applyFont="1" applyFill="1" applyBorder="1"/>
    <xf numFmtId="0" fontId="5" fillId="13" borderId="2" xfId="0" applyFont="1" applyFill="1" applyBorder="1"/>
    <xf numFmtId="0" fontId="5" fillId="13" borderId="3" xfId="0" applyFont="1" applyFill="1" applyBorder="1"/>
    <xf numFmtId="0" fontId="5" fillId="13" borderId="4" xfId="0" applyFont="1" applyFill="1" applyBorder="1"/>
    <xf numFmtId="0" fontId="17" fillId="13" borderId="2" xfId="0" applyFont="1" applyFill="1" applyBorder="1" applyAlignment="1">
      <alignment horizontal="left"/>
    </xf>
    <xf numFmtId="0" fontId="17" fillId="13" borderId="3" xfId="0" applyFont="1" applyFill="1" applyBorder="1" applyAlignment="1">
      <alignment horizontal="left"/>
    </xf>
    <xf numFmtId="0" fontId="17" fillId="13" borderId="4" xfId="0" applyFont="1" applyFill="1" applyBorder="1" applyAlignment="1">
      <alignment horizontal="left"/>
    </xf>
    <xf numFmtId="0" fontId="5" fillId="8" borderId="2" xfId="0" applyFont="1" applyFill="1" applyBorder="1" applyAlignment="1">
      <alignment horizontal="left" indent="1"/>
    </xf>
    <xf numFmtId="0" fontId="5" fillId="8" borderId="3" xfId="0" applyFont="1" applyFill="1" applyBorder="1" applyAlignment="1">
      <alignment horizontal="left" indent="1"/>
    </xf>
    <xf numFmtId="0" fontId="5" fillId="8" borderId="2" xfId="0" applyFont="1" applyFill="1" applyBorder="1" applyAlignment="1">
      <alignment horizontal="left"/>
    </xf>
    <xf numFmtId="0" fontId="5" fillId="8" borderId="3" xfId="0" applyFont="1" applyFill="1" applyBorder="1" applyAlignment="1">
      <alignment horizontal="left"/>
    </xf>
    <xf numFmtId="0" fontId="56" fillId="8" borderId="1" xfId="0" applyFont="1" applyFill="1" applyBorder="1"/>
    <xf numFmtId="0" fontId="4" fillId="13" borderId="2" xfId="0" applyFont="1" applyFill="1" applyBorder="1" applyAlignment="1">
      <alignment horizontal="right"/>
    </xf>
    <xf numFmtId="0" fontId="4" fillId="13" borderId="3" xfId="0" applyFont="1" applyFill="1" applyBorder="1" applyAlignment="1">
      <alignment horizontal="right"/>
    </xf>
    <xf numFmtId="0" fontId="4" fillId="13" borderId="4" xfId="0" applyFont="1" applyFill="1" applyBorder="1" applyAlignment="1">
      <alignment horizontal="right"/>
    </xf>
    <xf numFmtId="0" fontId="3" fillId="8" borderId="3" xfId="0" applyFont="1" applyFill="1" applyBorder="1" applyAlignment="1">
      <alignment horizontal="right"/>
    </xf>
    <xf numFmtId="0" fontId="3" fillId="8" borderId="4" xfId="0" applyFont="1" applyFill="1" applyBorder="1" applyAlignment="1">
      <alignment horizontal="right"/>
    </xf>
    <xf numFmtId="0" fontId="7" fillId="8" borderId="2" xfId="0" applyFont="1" applyFill="1" applyBorder="1" applyAlignment="1">
      <alignment horizontal="left"/>
    </xf>
    <xf numFmtId="0" fontId="7" fillId="8" borderId="3" xfId="0" applyFont="1" applyFill="1" applyBorder="1" applyAlignment="1">
      <alignment horizontal="left"/>
    </xf>
    <xf numFmtId="0" fontId="16" fillId="8" borderId="0" xfId="0" applyFont="1" applyFill="1" applyAlignment="1">
      <alignment horizontal="left"/>
    </xf>
    <xf numFmtId="0" fontId="33" fillId="8" borderId="0" xfId="0" applyFont="1" applyFill="1"/>
    <xf numFmtId="0" fontId="0" fillId="9" borderId="0" xfId="0" applyFill="1"/>
  </cellXfs>
  <cellStyles count="6">
    <cellStyle name="Koma" xfId="5" builtinId="3"/>
    <cellStyle name="Normaallaad" xfId="0" builtinId="0"/>
    <cellStyle name="Normal 2" xfId="3" xr:uid="{D4A5E503-C018-4272-AD33-1B385573F8DC}"/>
    <cellStyle name="Normal 3" xfId="4" xr:uid="{47460E5D-CD97-4C2D-9B5C-E6C765C7C8B5}"/>
    <cellStyle name="Protsent" xfId="2" builtinId="5"/>
    <cellStyle name="Valuuta" xfId="1" builtinId="4"/>
  </cellStyles>
  <dxfs count="21">
    <dxf>
      <fill>
        <patternFill>
          <bgColor rgb="FF92D050"/>
        </patternFill>
      </fill>
    </dxf>
    <dxf>
      <fill>
        <patternFill>
          <bgColor rgb="FFFF0000"/>
        </patternFill>
      </fill>
    </dxf>
    <dxf>
      <font>
        <color rgb="FF9C0006"/>
      </font>
      <fill>
        <patternFill>
          <bgColor rgb="FFFFC7CE"/>
        </patternFill>
      </fill>
    </dxf>
    <dxf>
      <font>
        <b/>
        <i val="0"/>
        <color rgb="FFFF0000"/>
      </font>
      <fill>
        <patternFill>
          <bgColor theme="5" tint="0.79998168889431442"/>
        </patternFill>
      </fill>
    </dxf>
    <dxf>
      <font>
        <b/>
        <i val="0"/>
        <color theme="9" tint="-0.499984740745262"/>
      </font>
      <fill>
        <patternFill>
          <bgColor theme="9" tint="0.79998168889431442"/>
        </patternFill>
      </fill>
    </dxf>
    <dxf>
      <font>
        <b/>
        <i val="0"/>
        <color rgb="FFFF0000"/>
      </font>
      <fill>
        <patternFill>
          <bgColor theme="5" tint="0.79998168889431442"/>
        </patternFill>
      </fill>
    </dxf>
    <dxf>
      <font>
        <b/>
        <i val="0"/>
        <color theme="9" tint="-0.499984740745262"/>
      </font>
      <fill>
        <patternFill>
          <bgColor theme="9"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theme="0"/>
      </font>
      <fill>
        <patternFill>
          <bgColor rgb="FFFF0000"/>
        </patternFill>
      </fill>
    </dxf>
    <dxf>
      <fill>
        <patternFill>
          <bgColor rgb="FFFFFF00"/>
        </patternFill>
      </fill>
    </dxf>
    <dxf>
      <font>
        <b/>
        <i val="0"/>
        <color auto="1"/>
      </font>
      <fill>
        <patternFill>
          <bgColor rgb="FFDC9F24"/>
        </patternFill>
      </fill>
    </dxf>
    <dxf>
      <font>
        <b val="0"/>
        <i val="0"/>
        <color auto="1"/>
      </font>
      <fill>
        <patternFill>
          <bgColor rgb="FF92D050"/>
        </patternFill>
      </fill>
    </dxf>
    <dxf>
      <fill>
        <patternFill>
          <bgColor rgb="FFFF0000"/>
        </patternFill>
      </fill>
    </dxf>
    <dxf>
      <fill>
        <patternFill>
          <bgColor rgb="FFFF0000"/>
        </patternFill>
      </fill>
    </dxf>
    <dxf>
      <font>
        <b/>
        <i val="0"/>
      </font>
      <fill>
        <patternFill>
          <bgColor rgb="FFFF0000"/>
        </patternFill>
      </fill>
    </dxf>
    <dxf>
      <font>
        <b/>
        <i val="0"/>
        <color theme="0"/>
      </font>
      <fill>
        <patternFill>
          <bgColor rgb="FF0070C0"/>
        </patternFill>
      </fill>
    </dxf>
    <dxf>
      <fill>
        <patternFill>
          <bgColor rgb="FFFF0000"/>
        </patternFill>
      </fill>
    </dxf>
    <dxf>
      <font>
        <b/>
        <i val="0"/>
        <color theme="0"/>
      </font>
      <fill>
        <patternFill>
          <bgColor rgb="FFFF0000"/>
        </patternFill>
      </fill>
    </dxf>
    <dxf>
      <font>
        <color rgb="FF9C0006"/>
      </font>
      <fill>
        <patternFill>
          <bgColor rgb="FFFFC7CE"/>
        </patternFill>
      </fill>
    </dxf>
  </dxfs>
  <tableStyles count="0" defaultTableStyle="TableStyleMedium2" defaultPivotStyle="PivotStyleLight16"/>
  <colors>
    <mruColors>
      <color rgb="FF663300"/>
      <color rgb="FF996633"/>
      <color rgb="FF0070C0"/>
      <color rgb="FF5DD5FF"/>
      <color rgb="FFCC9900"/>
      <color rgb="FFFCCF8E"/>
      <color rgb="FFCCFFFF"/>
      <color rgb="FFFFCCFF"/>
      <color rgb="FF99FF66"/>
      <color rgb="FFD5F4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9525</xdr:colOff>
      <xdr:row>2</xdr:row>
      <xdr:rowOff>85725</xdr:rowOff>
    </xdr:from>
    <xdr:to>
      <xdr:col>17</xdr:col>
      <xdr:colOff>106235</xdr:colOff>
      <xdr:row>33</xdr:row>
      <xdr:rowOff>10339</xdr:rowOff>
    </xdr:to>
    <xdr:pic>
      <xdr:nvPicPr>
        <xdr:cNvPr id="2" name="Pilt 1">
          <a:extLst>
            <a:ext uri="{FF2B5EF4-FFF2-40B4-BE49-F238E27FC236}">
              <a16:creationId xmlns:a16="http://schemas.microsoft.com/office/drawing/2014/main" id="{2C15E6E6-DE75-1FBF-01F3-6FA3ACB069BA}"/>
            </a:ext>
          </a:extLst>
        </xdr:cNvPr>
        <xdr:cNvPicPr>
          <a:picLocks noChangeAspect="1"/>
        </xdr:cNvPicPr>
      </xdr:nvPicPr>
      <xdr:blipFill>
        <a:blip xmlns:r="http://schemas.openxmlformats.org/officeDocument/2006/relationships" r:embed="rId1"/>
        <a:stretch>
          <a:fillRect/>
        </a:stretch>
      </xdr:blipFill>
      <xdr:spPr>
        <a:xfrm>
          <a:off x="9525" y="466725"/>
          <a:ext cx="10459910" cy="58301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0</xdr:colOff>
      <xdr:row>0</xdr:row>
      <xdr:rowOff>0</xdr:rowOff>
    </xdr:from>
    <xdr:to>
      <xdr:col>12</xdr:col>
      <xdr:colOff>808990</xdr:colOff>
      <xdr:row>27</xdr:row>
      <xdr:rowOff>32702</xdr:rowOff>
    </xdr:to>
    <xdr:pic>
      <xdr:nvPicPr>
        <xdr:cNvPr id="5" name="Pilt 4">
          <a:extLst>
            <a:ext uri="{FF2B5EF4-FFF2-40B4-BE49-F238E27FC236}">
              <a16:creationId xmlns:a16="http://schemas.microsoft.com/office/drawing/2014/main" id="{7E698130-B62F-4119-72E3-5393AD1E69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809220" y="0"/>
          <a:ext cx="2971165" cy="6095365"/>
        </a:xfrm>
        <a:prstGeom prst="rect">
          <a:avLst/>
        </a:prstGeom>
        <a:noFill/>
      </xdr:spPr>
    </xdr:pic>
    <xdr:clientData/>
  </xdr:twoCellAnchor>
  <xdr:twoCellAnchor editAs="oneCell">
    <xdr:from>
      <xdr:col>12</xdr:col>
      <xdr:colOff>899160</xdr:colOff>
      <xdr:row>0</xdr:row>
      <xdr:rowOff>0</xdr:rowOff>
    </xdr:from>
    <xdr:to>
      <xdr:col>20</xdr:col>
      <xdr:colOff>171450</xdr:colOff>
      <xdr:row>15</xdr:row>
      <xdr:rowOff>42352</xdr:rowOff>
    </xdr:to>
    <xdr:pic>
      <xdr:nvPicPr>
        <xdr:cNvPr id="2" name="Pilt 1">
          <a:extLst>
            <a:ext uri="{FF2B5EF4-FFF2-40B4-BE49-F238E27FC236}">
              <a16:creationId xmlns:a16="http://schemas.microsoft.com/office/drawing/2014/main" id="{1D4A1937-442D-1498-A75E-E2E3C2CC0F8E}"/>
            </a:ext>
          </a:extLst>
        </xdr:cNvPr>
        <xdr:cNvPicPr>
          <a:picLocks noChangeAspect="1"/>
        </xdr:cNvPicPr>
      </xdr:nvPicPr>
      <xdr:blipFill>
        <a:blip xmlns:r="http://schemas.openxmlformats.org/officeDocument/2006/relationships" r:embed="rId2"/>
        <a:stretch>
          <a:fillRect/>
        </a:stretch>
      </xdr:blipFill>
      <xdr:spPr>
        <a:xfrm>
          <a:off x="16504920" y="0"/>
          <a:ext cx="5318760" cy="372567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Kristjan Piirimäe" id="{ACB90EF8-4D3E-4C3A-B20F-C91F7CE961C7}" userId="S::kristjan.piirimae@taltech.ee::683b6d88-8e64-4a7d-87c6-adedda6c11e7" providerId="AD"/>
</personList>
</file>

<file path=xl/theme/theme1.xml><?xml version="1.0" encoding="utf-8"?>
<a:theme xmlns:a="http://schemas.openxmlformats.org/drawingml/2006/main" name="Office’i kujundus 2013–2022">
  <a:themeElements>
    <a:clrScheme name="Office 2013–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P1" dT="2023-10-26T14:22:10.23" personId="{ACB90EF8-4D3E-4C3A-B20F-C91F7CE961C7}" id="{4E238BC2-CD91-4145-B83D-4812A29231F1}">
    <text>Eestisse jõudev palgasüst</text>
  </threadedComment>
  <threadedComment ref="W10" dT="2023-11-17T14:41:18.57" personId="{ACB90EF8-4D3E-4C3A-B20F-C91F7CE961C7}" id="{73DE904E-31C4-4738-8E7C-8CCE9C686E56}">
    <text>1 - Tallinn; 2 - Tartu; 3 - muu</text>
  </threadedComment>
  <threadedComment ref="W11" dT="2023-10-27T08:45:48.47" personId="{ACB90EF8-4D3E-4C3A-B20F-C91F7CE961C7}" id="{6A642791-C96A-4E4F-94A5-272ADBE611CB}">
    <text>Tallinn: 0,51; Tartu 0,396; Otepää 0,2</text>
  </threadedComment>
  <threadedComment ref="W12" dT="2023-10-27T08:46:26.21" personId="{ACB90EF8-4D3E-4C3A-B20F-C91F7CE961C7}" id="{B4B7D990-54CF-40B2-817C-FF5CC69A100E}">
    <text>Tallinn 1,51; Tartu 1,43; Otepää 1,13</text>
  </threadedComment>
  <threadedComment ref="O14" dT="2023-11-17T14:16:27.47" personId="{ACB90EF8-4D3E-4C3A-B20F-C91F7CE961C7}" id="{1E5CEAB2-6314-47DD-A289-0E1A4B711577}">
    <text>Maksud / tööandja kulu</text>
  </threadedComment>
  <threadedComment ref="V14" dT="2023-11-17T14:15:59.31" personId="{ACB90EF8-4D3E-4C3A-B20F-C91F7CE961C7}" id="{BADAAC5A-7E0A-4E78-8E04-C44C19DE4D3B}">
    <text>KOV-ile kaekuvad maksud / tööandja kulu</text>
  </threadedComment>
  <threadedComment ref="P16" dT="2023-10-26T14:22:10.23" personId="{ACB90EF8-4D3E-4C3A-B20F-C91F7CE961C7}" id="{F3455D17-FA57-45F8-A9C6-A3159DA685C0}">
    <text>Eestisse jõudev palgasüst</text>
  </threadedComment>
  <threadedComment ref="P25" dT="2023-10-26T14:22:10.23" personId="{ACB90EF8-4D3E-4C3A-B20F-C91F7CE961C7}" id="{207581D5-76A2-4606-8847-D4304A57DC15}">
    <text>Eestisse jõudev palgasüst</text>
  </threadedComment>
</ThreadedComments>
</file>

<file path=xl/webextensions/_rels/taskpanes.xml.rels><?xml version="1.0" encoding="UTF-8" standalone="yes"?>
<Relationships xmlns="http://schemas.openxmlformats.org/package/2006/relationships"><Relationship Id="rId2" Type="http://schemas.microsoft.com/office/2011/relationships/webextension" Target="webextension2.xml"/><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438" row="4">
    <wetp:webextensionref xmlns:r="http://schemas.openxmlformats.org/officeDocument/2006/relationships" r:id="rId1"/>
  </wetp:taskpane>
  <wetp:taskpane dockstate="right" visibility="0" width="700" row="3">
    <wetp:webextensionref xmlns:r="http://schemas.openxmlformats.org/officeDocument/2006/relationships" r:id="rId2"/>
  </wetp:taskpane>
</wetp:taskpanes>
</file>

<file path=xl/webextensions/webextension1.xml><?xml version="1.0" encoding="utf-8"?>
<we:webextension xmlns:we="http://schemas.microsoft.com/office/webextensions/webextension/2010/11" id="{310960E2-5953-4DE9-9D21-570CAB2CC6AB}">
  <we:reference id="wa200005502" version="1.0.0.11" store="en-US" storeType="OMEX"/>
  <we:alternateReferences>
    <we:reference id="WA200005502" version="1.0.0.11" store="" storeType="OMEX"/>
  </we:alternateReferences>
  <we:properties>
    <we:property name="docId" value="&quot;dynIfQrw4fDxmDJ9VDN6G&quot;"/>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_xldudf_GPT</we:customFunctionIds>
        <we:customFunctionIds>_xldudf_GPT_LIST</we:customFunctionIds>
        <we:customFunctionIds>_xldudf_GPT_HLIST</we:customFunctionIds>
        <we:customFunctionIds>_xldudf_GPT_CLASSIFY</we:customFunctionIds>
        <we:customFunctionIds>_xldudf_GPT_TRANSLATE</we:customFunctionIds>
        <we:customFunctionIds>_xldudf_GPT_EXTRACT</we:customFunctionIds>
        <we:customFunctionIds>_xldudf_GPT_TAG</we:customFunctionIds>
        <we:customFunctionIds>_xldudf_GPT_CONVERT</we:customFunctionIds>
        <we:customFunctionIds>_xldudf_GPT_FORMAT</we:customFunctionIds>
        <we:customFunctionIds>_xldudf_GPT_SUMMARIZE</we:customFunctionIds>
        <we:customFunctionIds>_xldudf_GPT_TABLE</we:customFunctionIds>
        <we:customFunctionIds>_xldudf_GPT_FILL</we:customFunctionIds>
        <we:customFunctionIds>_xldudf_GPT_SPLIT</we:customFunctionIds>
        <we:customFunctionIds>_xldudf_GPT_HSPLIT</we:customFunctionIds>
        <we:customFunctionIds>_xldudf_GPT_EDIT</we:customFunctionIds>
        <we:customFunctionIds>_xldudf_GPT_MATCH</we:customFunctionIds>
        <we:customFunctionIds>_xldudf_GPT_VISION</we:customFunctionIds>
        <we:customFunctionIds>_xldudf_GPT_WEB</we:customFunctionIds>
      </we:customFunctionIdList>
    </a:ext>
  </we:extLst>
</we:webextension>
</file>

<file path=xl/webextensions/webextension2.xml><?xml version="1.0" encoding="utf-8"?>
<we:webextension xmlns:we="http://schemas.microsoft.com/office/webextensions/webextension/2010/11" id="{C890BB09-73F9-4B53-A5C8-539A6F678E45}">
  <we:reference id="wa200005271" version="2.4.4.0" store="en-US" storeType="OMEX"/>
  <we:alternateReferences>
    <we:reference id="wa200005271" version="2.4.4.0" store="WA200005271" storeType="OMEX"/>
  </we:alternateReferences>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_xldudf_AI_TABLE</we:customFunctionIds>
        <we:customFunctionIds>_xldudf_AI_FILL</we:customFunctionIds>
        <we:customFunctionIds>_xldudf_AI_LIST</we:customFunctionIds>
        <we:customFunctionIds>_xldudf_AI_ASK</we:customFunctionIds>
        <we:customFunctionIds>_xldudf_AI_FORMAT</we:customFunctionIds>
        <we:customFunctionIds>_xldudf_AI_EXTRACT</we:customFunctionIds>
        <we:customFunctionIds>_xldudf_AI_TRANSLATE</we:customFunctionIds>
      </we:customFunctionIdList>
    </a:ext>
  </we:extLst>
</we:webextension>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8.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9.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EC6C34-9890-4FE5-AF4C-B5995A0AACF0}">
  <dimension ref="A1:A7"/>
  <sheetViews>
    <sheetView tabSelected="1" workbookViewId="0"/>
  </sheetViews>
  <sheetFormatPr defaultRowHeight="14.5" x14ac:dyDescent="0.35"/>
  <cols>
    <col min="1" max="1" width="80" customWidth="1"/>
  </cols>
  <sheetData>
    <row r="1" spans="1:1" ht="70.5" x14ac:dyDescent="0.55000000000000004">
      <c r="A1" s="439" t="s">
        <v>499</v>
      </c>
    </row>
    <row r="3" spans="1:1" ht="47" x14ac:dyDescent="0.55000000000000004">
      <c r="A3" s="439" t="s">
        <v>502</v>
      </c>
    </row>
    <row r="5" spans="1:1" ht="23.5" x14ac:dyDescent="0.55000000000000004">
      <c r="A5" s="439" t="s">
        <v>501</v>
      </c>
    </row>
    <row r="7" spans="1:1" ht="47" x14ac:dyDescent="0.55000000000000004">
      <c r="A7" s="439" t="s">
        <v>500</v>
      </c>
    </row>
  </sheetData>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8FEA9F-90A0-46DA-BD4C-23266FE21819}">
  <sheetPr codeName="Leht8"/>
  <dimension ref="A1:G108"/>
  <sheetViews>
    <sheetView workbookViewId="0">
      <selection activeCell="F13" sqref="F13:F15"/>
    </sheetView>
  </sheetViews>
  <sheetFormatPr defaultColWidth="9.1796875" defaultRowHeight="14.5" x14ac:dyDescent="0.35"/>
  <cols>
    <col min="1" max="1" width="14.453125" style="45" customWidth="1"/>
    <col min="2" max="2" width="17.1796875" style="45" customWidth="1"/>
    <col min="3" max="16384" width="9.1796875" style="45"/>
  </cols>
  <sheetData>
    <row r="1" spans="1:7" ht="18.5" x14ac:dyDescent="0.45">
      <c r="A1" s="46" t="s">
        <v>408</v>
      </c>
    </row>
    <row r="3" spans="1:7" x14ac:dyDescent="0.35">
      <c r="C3" s="47" t="s">
        <v>409</v>
      </c>
    </row>
    <row r="4" spans="1:7" x14ac:dyDescent="0.35">
      <c r="C4" s="47"/>
      <c r="D4" s="45" t="s">
        <v>10</v>
      </c>
    </row>
    <row r="5" spans="1:7" x14ac:dyDescent="0.35">
      <c r="A5" s="47"/>
      <c r="B5" s="47" t="s">
        <v>410</v>
      </c>
      <c r="C5" s="48">
        <v>4176</v>
      </c>
      <c r="E5" s="45" t="s">
        <v>411</v>
      </c>
      <c r="F5" s="45" t="s">
        <v>180</v>
      </c>
    </row>
    <row r="6" spans="1:7" x14ac:dyDescent="0.35">
      <c r="B6" s="47" t="s">
        <v>412</v>
      </c>
      <c r="C6" s="48">
        <v>6456</v>
      </c>
      <c r="E6" s="45">
        <f>VLOOKUP(Sisend!B8,'KOV-id'!B5:C84,2,FALSE)</f>
        <v>6388</v>
      </c>
      <c r="F6" s="45">
        <f>IF((E6&gt;200000),1,(IF((E6&gt;100000),2,3)))</f>
        <v>3</v>
      </c>
    </row>
    <row r="7" spans="1:7" x14ac:dyDescent="0.35">
      <c r="B7" s="47" t="s">
        <v>413</v>
      </c>
      <c r="C7" s="48">
        <v>4200</v>
      </c>
    </row>
    <row r="8" spans="1:7" x14ac:dyDescent="0.35">
      <c r="B8" s="47" t="s">
        <v>414</v>
      </c>
      <c r="C8" s="48">
        <v>14863</v>
      </c>
    </row>
    <row r="9" spans="1:7" x14ac:dyDescent="0.35">
      <c r="B9" s="47" t="s">
        <v>415</v>
      </c>
      <c r="C9" s="48">
        <v>4677</v>
      </c>
      <c r="E9" s="285"/>
    </row>
    <row r="10" spans="1:7" x14ac:dyDescent="0.35">
      <c r="B10" s="47" t="s">
        <v>416</v>
      </c>
      <c r="C10" s="48">
        <v>13435</v>
      </c>
    </row>
    <row r="11" spans="1:7" x14ac:dyDescent="0.35">
      <c r="B11" s="47" t="s">
        <v>417</v>
      </c>
      <c r="C11" s="48">
        <v>4072</v>
      </c>
    </row>
    <row r="12" spans="1:7" x14ac:dyDescent="0.35">
      <c r="B12" s="47" t="s">
        <v>418</v>
      </c>
      <c r="C12" s="48">
        <v>17294</v>
      </c>
    </row>
    <row r="13" spans="1:7" x14ac:dyDescent="0.35">
      <c r="B13" s="47" t="s">
        <v>419</v>
      </c>
      <c r="C13" s="48">
        <v>8474</v>
      </c>
    </row>
    <row r="14" spans="1:7" x14ac:dyDescent="0.35">
      <c r="B14" s="47" t="s">
        <v>420</v>
      </c>
      <c r="C14" s="48">
        <v>8725</v>
      </c>
      <c r="G14" s="45" t="s">
        <v>10</v>
      </c>
    </row>
    <row r="15" spans="1:7" x14ac:dyDescent="0.35">
      <c r="B15" s="47" t="s">
        <v>421</v>
      </c>
      <c r="C15" s="48">
        <v>7305</v>
      </c>
    </row>
    <row r="16" spans="1:7" x14ac:dyDescent="0.35">
      <c r="B16" s="47" t="s">
        <v>422</v>
      </c>
      <c r="C16" s="48">
        <v>13122</v>
      </c>
    </row>
    <row r="17" spans="2:3" x14ac:dyDescent="0.35">
      <c r="B17" s="47" t="s">
        <v>423</v>
      </c>
      <c r="C17" s="48">
        <v>12351</v>
      </c>
    </row>
    <row r="18" spans="2:3" x14ac:dyDescent="0.35">
      <c r="B18" s="47" t="s">
        <v>424</v>
      </c>
      <c r="C18" s="48">
        <v>4799</v>
      </c>
    </row>
    <row r="19" spans="2:3" x14ac:dyDescent="0.35">
      <c r="B19" s="47" t="s">
        <v>425</v>
      </c>
      <c r="C19" s="48">
        <v>13705</v>
      </c>
    </row>
    <row r="20" spans="2:3" x14ac:dyDescent="0.35">
      <c r="B20" s="47" t="s">
        <v>426</v>
      </c>
      <c r="C20" s="48">
        <v>4453</v>
      </c>
    </row>
    <row r="21" spans="2:3" x14ac:dyDescent="0.35">
      <c r="B21" s="47" t="s">
        <v>427</v>
      </c>
      <c r="C21" s="48">
        <v>5718</v>
      </c>
    </row>
    <row r="22" spans="2:3" x14ac:dyDescent="0.35">
      <c r="B22" s="47" t="s">
        <v>428</v>
      </c>
      <c r="C22" s="48">
        <v>5454</v>
      </c>
    </row>
    <row r="23" spans="2:3" x14ac:dyDescent="0.35">
      <c r="B23" s="47" t="s">
        <v>429</v>
      </c>
      <c r="C23" s="48">
        <v>10905</v>
      </c>
    </row>
    <row r="24" spans="2:3" x14ac:dyDescent="0.35">
      <c r="B24" s="47" t="s">
        <v>430</v>
      </c>
      <c r="C24" s="48">
        <v>529</v>
      </c>
    </row>
    <row r="25" spans="2:3" x14ac:dyDescent="0.35">
      <c r="B25" s="47" t="s">
        <v>431</v>
      </c>
      <c r="C25" s="48">
        <v>6391</v>
      </c>
    </row>
    <row r="26" spans="2:3" x14ac:dyDescent="0.35">
      <c r="B26" s="47" t="s">
        <v>432</v>
      </c>
      <c r="C26" s="48">
        <v>7726</v>
      </c>
    </row>
    <row r="27" spans="2:3" x14ac:dyDescent="0.35">
      <c r="B27" s="47" t="s">
        <v>433</v>
      </c>
      <c r="C27" s="48">
        <v>33675</v>
      </c>
    </row>
    <row r="28" spans="2:3" x14ac:dyDescent="0.35">
      <c r="B28" s="47" t="s">
        <v>434</v>
      </c>
      <c r="C28" s="48">
        <v>7754</v>
      </c>
    </row>
    <row r="29" spans="2:3" x14ac:dyDescent="0.35">
      <c r="B29" s="47" t="s">
        <v>435</v>
      </c>
      <c r="C29" s="48">
        <v>6380</v>
      </c>
    </row>
    <row r="30" spans="2:3" x14ac:dyDescent="0.35">
      <c r="B30" s="47" t="s">
        <v>436</v>
      </c>
      <c r="C30" s="48">
        <v>13462</v>
      </c>
    </row>
    <row r="31" spans="2:3" x14ac:dyDescent="0.35">
      <c r="B31" s="47" t="s">
        <v>437</v>
      </c>
      <c r="C31" s="48">
        <v>6961</v>
      </c>
    </row>
    <row r="32" spans="2:3" x14ac:dyDescent="0.35">
      <c r="B32" s="47" t="s">
        <v>438</v>
      </c>
      <c r="C32" s="48">
        <v>5092</v>
      </c>
    </row>
    <row r="33" spans="2:5" x14ac:dyDescent="0.35">
      <c r="B33" s="47" t="s">
        <v>439</v>
      </c>
      <c r="C33" s="48">
        <v>2603</v>
      </c>
    </row>
    <row r="34" spans="2:5" x14ac:dyDescent="0.35">
      <c r="B34" s="47" t="s">
        <v>440</v>
      </c>
      <c r="C34" s="48">
        <v>8250</v>
      </c>
    </row>
    <row r="35" spans="2:5" x14ac:dyDescent="0.35">
      <c r="B35" s="47" t="s">
        <v>441</v>
      </c>
      <c r="C35" s="48">
        <v>5612</v>
      </c>
    </row>
    <row r="36" spans="2:5" x14ac:dyDescent="0.35">
      <c r="B36" s="47" t="s">
        <v>442</v>
      </c>
      <c r="C36" s="48">
        <v>16750</v>
      </c>
    </row>
    <row r="37" spans="2:5" x14ac:dyDescent="0.35">
      <c r="B37" s="47" t="s">
        <v>443</v>
      </c>
      <c r="C37" s="48">
        <v>7405</v>
      </c>
    </row>
    <row r="38" spans="2:5" x14ac:dyDescent="0.35">
      <c r="B38" s="47" t="s">
        <v>444</v>
      </c>
      <c r="C38" s="48">
        <v>1640</v>
      </c>
    </row>
    <row r="39" spans="2:5" x14ac:dyDescent="0.35">
      <c r="B39" s="47" t="s">
        <v>445</v>
      </c>
      <c r="C39" s="48">
        <v>7086</v>
      </c>
    </row>
    <row r="40" spans="2:5" x14ac:dyDescent="0.35">
      <c r="B40" s="47" t="s">
        <v>446</v>
      </c>
      <c r="C40" s="48">
        <v>4952</v>
      </c>
    </row>
    <row r="41" spans="2:5" x14ac:dyDescent="0.35">
      <c r="B41" s="47" t="s">
        <v>447</v>
      </c>
      <c r="C41" s="48">
        <v>53875</v>
      </c>
    </row>
    <row r="42" spans="2:5" x14ac:dyDescent="0.35">
      <c r="B42" s="47" t="s">
        <v>448</v>
      </c>
      <c r="C42" s="48">
        <v>4269</v>
      </c>
    </row>
    <row r="43" spans="2:5" x14ac:dyDescent="0.35">
      <c r="B43" s="47" t="s">
        <v>449</v>
      </c>
      <c r="C43" s="48">
        <v>4289</v>
      </c>
    </row>
    <row r="44" spans="2:5" x14ac:dyDescent="0.35">
      <c r="B44" s="47" t="s">
        <v>450</v>
      </c>
      <c r="C44" s="48">
        <v>6388</v>
      </c>
    </row>
    <row r="45" spans="2:5" x14ac:dyDescent="0.35">
      <c r="B45" s="47" t="s">
        <v>451</v>
      </c>
      <c r="C45" s="48">
        <v>10664</v>
      </c>
    </row>
    <row r="46" spans="2:5" x14ac:dyDescent="0.35">
      <c r="B46" s="47" t="s">
        <v>452</v>
      </c>
      <c r="C46" s="48">
        <v>52362</v>
      </c>
    </row>
    <row r="47" spans="2:5" x14ac:dyDescent="0.35">
      <c r="B47" s="47" t="s">
        <v>453</v>
      </c>
      <c r="C47" s="48">
        <v>5059</v>
      </c>
    </row>
    <row r="48" spans="2:5" x14ac:dyDescent="0.35">
      <c r="B48" s="47" t="s">
        <v>454</v>
      </c>
      <c r="C48" s="48">
        <v>8088</v>
      </c>
      <c r="E48" s="45" t="s">
        <v>10</v>
      </c>
    </row>
    <row r="49" spans="2:3" x14ac:dyDescent="0.35">
      <c r="B49" s="47" t="s">
        <v>455</v>
      </c>
      <c r="C49" s="48">
        <v>7748</v>
      </c>
    </row>
    <row r="50" spans="2:3" x14ac:dyDescent="0.35">
      <c r="B50" s="47" t="s">
        <v>456</v>
      </c>
      <c r="C50" s="48">
        <v>9665</v>
      </c>
    </row>
    <row r="51" spans="2:3" x14ac:dyDescent="0.35">
      <c r="B51" s="47" t="s">
        <v>457</v>
      </c>
      <c r="C51" s="48">
        <v>13534</v>
      </c>
    </row>
    <row r="52" spans="2:3" x14ac:dyDescent="0.35">
      <c r="B52" s="47" t="s">
        <v>458</v>
      </c>
      <c r="C52" s="48">
        <v>5284</v>
      </c>
    </row>
    <row r="53" spans="2:3" x14ac:dyDescent="0.35">
      <c r="B53" s="47" t="s">
        <v>459</v>
      </c>
      <c r="C53" s="48">
        <v>24276</v>
      </c>
    </row>
    <row r="54" spans="2:3" x14ac:dyDescent="0.35">
      <c r="B54" s="47" t="s">
        <v>460</v>
      </c>
      <c r="C54" s="48">
        <v>15614</v>
      </c>
    </row>
    <row r="55" spans="2:3" x14ac:dyDescent="0.35">
      <c r="B55" s="47" t="s">
        <v>461</v>
      </c>
      <c r="C55" s="48">
        <v>5859</v>
      </c>
    </row>
    <row r="56" spans="2:3" x14ac:dyDescent="0.35">
      <c r="B56" s="47" t="s">
        <v>462</v>
      </c>
      <c r="C56" s="48">
        <v>6049</v>
      </c>
    </row>
    <row r="57" spans="2:3" x14ac:dyDescent="0.35">
      <c r="B57" s="47" t="s">
        <v>463</v>
      </c>
      <c r="C57" s="48">
        <v>13453</v>
      </c>
    </row>
    <row r="58" spans="2:3" x14ac:dyDescent="0.35">
      <c r="B58" s="47" t="s">
        <v>464</v>
      </c>
      <c r="C58" s="48">
        <v>4865</v>
      </c>
    </row>
    <row r="59" spans="2:3" x14ac:dyDescent="0.35">
      <c r="B59" s="47" t="s">
        <v>465</v>
      </c>
      <c r="C59" s="48">
        <v>88</v>
      </c>
    </row>
    <row r="60" spans="2:3" x14ac:dyDescent="0.35">
      <c r="B60" s="47" t="s">
        <v>466</v>
      </c>
      <c r="C60" s="48">
        <v>4393</v>
      </c>
    </row>
    <row r="61" spans="2:3" x14ac:dyDescent="0.35">
      <c r="B61" s="47" t="s">
        <v>467</v>
      </c>
      <c r="C61" s="48">
        <v>30191</v>
      </c>
    </row>
    <row r="62" spans="2:3" x14ac:dyDescent="0.35">
      <c r="B62" s="47" t="s">
        <v>468</v>
      </c>
      <c r="C62" s="48">
        <v>11510</v>
      </c>
    </row>
    <row r="63" spans="2:3" x14ac:dyDescent="0.35">
      <c r="B63" s="47" t="s">
        <v>469</v>
      </c>
      <c r="C63" s="48">
        <v>25370</v>
      </c>
    </row>
    <row r="64" spans="2:3" x14ac:dyDescent="0.35">
      <c r="B64" s="47" t="s">
        <v>470</v>
      </c>
      <c r="C64" s="48">
        <v>2823</v>
      </c>
    </row>
    <row r="65" spans="2:3" x14ac:dyDescent="0.35">
      <c r="B65" s="47" t="s">
        <v>471</v>
      </c>
      <c r="C65" s="48">
        <v>12452</v>
      </c>
    </row>
    <row r="66" spans="2:3" x14ac:dyDescent="0.35">
      <c r="B66" s="47" t="s">
        <v>472</v>
      </c>
      <c r="C66" s="48">
        <v>453864</v>
      </c>
    </row>
    <row r="67" spans="2:3" x14ac:dyDescent="0.35">
      <c r="B67" s="47" t="s">
        <v>473</v>
      </c>
      <c r="C67" s="48">
        <v>11082</v>
      </c>
    </row>
    <row r="68" spans="2:3" x14ac:dyDescent="0.35">
      <c r="B68" s="47" t="s">
        <v>474</v>
      </c>
      <c r="C68" s="48">
        <v>100724</v>
      </c>
    </row>
    <row r="69" spans="2:3" x14ac:dyDescent="0.35">
      <c r="B69" s="47" t="s">
        <v>475</v>
      </c>
      <c r="C69" s="48">
        <v>12420</v>
      </c>
    </row>
    <row r="70" spans="2:3" x14ac:dyDescent="0.35">
      <c r="B70" s="47" t="s">
        <v>476</v>
      </c>
      <c r="C70" s="48">
        <v>4310</v>
      </c>
    </row>
    <row r="71" spans="2:3" x14ac:dyDescent="0.35">
      <c r="B71" s="47" t="s">
        <v>477</v>
      </c>
      <c r="C71" s="48">
        <v>12277</v>
      </c>
    </row>
    <row r="72" spans="2:3" x14ac:dyDescent="0.35">
      <c r="B72" s="47" t="s">
        <v>478</v>
      </c>
      <c r="C72" s="48">
        <v>5862</v>
      </c>
    </row>
    <row r="73" spans="2:3" x14ac:dyDescent="0.35">
      <c r="B73" s="47" t="s">
        <v>479</v>
      </c>
      <c r="C73" s="48">
        <v>10683</v>
      </c>
    </row>
    <row r="74" spans="2:3" x14ac:dyDescent="0.35">
      <c r="B74" s="47" t="s">
        <v>480</v>
      </c>
      <c r="C74" s="48">
        <v>5653</v>
      </c>
    </row>
    <row r="75" spans="2:3" x14ac:dyDescent="0.35">
      <c r="B75" s="47" t="s">
        <v>481</v>
      </c>
      <c r="C75" s="48">
        <v>15864</v>
      </c>
    </row>
    <row r="76" spans="2:3" x14ac:dyDescent="0.35">
      <c r="B76" s="47" t="s">
        <v>482</v>
      </c>
      <c r="C76" s="48">
        <v>22472</v>
      </c>
    </row>
    <row r="77" spans="2:3" x14ac:dyDescent="0.35">
      <c r="B77" s="47" t="s">
        <v>483</v>
      </c>
      <c r="C77" s="48">
        <v>17353</v>
      </c>
    </row>
    <row r="78" spans="2:3" x14ac:dyDescent="0.35">
      <c r="B78" s="47" t="s">
        <v>484</v>
      </c>
      <c r="C78" s="48">
        <v>13450</v>
      </c>
    </row>
    <row r="79" spans="2:3" x14ac:dyDescent="0.35">
      <c r="B79" s="47" t="s">
        <v>485</v>
      </c>
      <c r="C79" s="48">
        <v>6716</v>
      </c>
    </row>
    <row r="80" spans="2:3" x14ac:dyDescent="0.35">
      <c r="B80" s="47" t="s">
        <v>486</v>
      </c>
      <c r="C80" s="48">
        <v>5813</v>
      </c>
    </row>
    <row r="81" spans="2:3" x14ac:dyDescent="0.35">
      <c r="B81" s="47" t="s">
        <v>487</v>
      </c>
      <c r="C81" s="48">
        <v>292</v>
      </c>
    </row>
    <row r="82" spans="2:3" x14ac:dyDescent="0.35">
      <c r="B82" s="47" t="s">
        <v>488</v>
      </c>
      <c r="C82" s="48">
        <v>12055</v>
      </c>
    </row>
    <row r="83" spans="2:3" x14ac:dyDescent="0.35">
      <c r="B83" s="47" t="s">
        <v>489</v>
      </c>
      <c r="C83" s="48">
        <v>10374</v>
      </c>
    </row>
    <row r="84" spans="2:3" x14ac:dyDescent="0.35">
      <c r="B84" s="351" t="s">
        <v>490</v>
      </c>
      <c r="C84" s="48">
        <f>Sisend!C9</f>
        <v>0</v>
      </c>
    </row>
    <row r="107" spans="1:1" x14ac:dyDescent="0.35">
      <c r="A107" s="45" t="s">
        <v>491</v>
      </c>
    </row>
    <row r="108" spans="1:1" x14ac:dyDescent="0.35">
      <c r="A108" s="45" t="s">
        <v>492</v>
      </c>
    </row>
  </sheetData>
  <sortState xmlns:xlrd2="http://schemas.microsoft.com/office/spreadsheetml/2017/richdata2" ref="B5:C83">
    <sortCondition ref="B5:B83"/>
  </sortState>
  <pageMargins left="0.75" right="0.75" top="0.75" bottom="0.5" header="0.5" footer="0.7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494AF3-2494-46F6-ABD4-152C0A38EA6D}">
  <sheetPr codeName="Leht9"/>
  <dimension ref="EKA267200:LOM420753"/>
  <sheetViews>
    <sheetView workbookViewId="0"/>
  </sheetViews>
  <sheetFormatPr defaultColWidth="8.81640625" defaultRowHeight="14.5" x14ac:dyDescent="0.35"/>
  <sheetData>
    <row r="267200" spans="3667:3667" x14ac:dyDescent="0.35">
      <c r="EKA267200" t="s">
        <v>493</v>
      </c>
    </row>
    <row r="420753" spans="8515:8515" x14ac:dyDescent="0.35">
      <c r="LOM420753" t="s">
        <v>494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64AD3D-633A-48DB-8625-B91E551A4FDA}">
  <dimension ref="A1:A2"/>
  <sheetViews>
    <sheetView workbookViewId="0"/>
  </sheetViews>
  <sheetFormatPr defaultRowHeight="14.5" x14ac:dyDescent="0.35"/>
  <sheetData>
    <row r="1" spans="1:1" x14ac:dyDescent="0.35">
      <c r="A1" s="1" t="s">
        <v>497</v>
      </c>
    </row>
    <row r="2" spans="1:1" x14ac:dyDescent="0.35">
      <c r="A2" t="s">
        <v>498</v>
      </c>
    </row>
  </sheetData>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98F809-2906-4E75-90F2-2A58B2DADFD0}">
  <sheetPr codeName="Leht1">
    <tabColor rgb="FFFFC000"/>
  </sheetPr>
  <dimension ref="A1:N27"/>
  <sheetViews>
    <sheetView workbookViewId="0">
      <selection activeCell="L6" sqref="L6"/>
    </sheetView>
  </sheetViews>
  <sheetFormatPr defaultColWidth="8.81640625" defaultRowHeight="14.5" x14ac:dyDescent="0.35"/>
  <cols>
    <col min="1" max="11" width="4.81640625" customWidth="1"/>
    <col min="12" max="12" width="39.81640625" style="26" customWidth="1"/>
  </cols>
  <sheetData>
    <row r="1" spans="1:14" ht="54" customHeight="1" x14ac:dyDescent="0.45">
      <c r="A1" s="440" t="s">
        <v>0</v>
      </c>
      <c r="B1" s="440"/>
      <c r="C1" s="440"/>
      <c r="D1" s="440"/>
      <c r="E1" s="440"/>
      <c r="F1" s="440"/>
      <c r="G1" s="440"/>
      <c r="H1" s="440"/>
      <c r="I1" s="440"/>
      <c r="J1" s="440"/>
      <c r="K1" s="441"/>
      <c r="L1" s="119" t="s">
        <v>1</v>
      </c>
    </row>
    <row r="2" spans="1:14" x14ac:dyDescent="0.35">
      <c r="A2" s="442"/>
      <c r="B2" s="442"/>
      <c r="C2" s="442"/>
      <c r="D2" s="442"/>
      <c r="E2" s="442"/>
      <c r="F2" s="442"/>
      <c r="G2" s="442"/>
      <c r="H2" s="442"/>
      <c r="I2" s="442"/>
      <c r="J2" s="442"/>
      <c r="K2" s="443"/>
      <c r="L2" s="101" t="s">
        <v>2</v>
      </c>
    </row>
    <row r="3" spans="1:14" x14ac:dyDescent="0.35">
      <c r="A3" s="442"/>
      <c r="B3" s="442"/>
      <c r="C3" s="442"/>
      <c r="D3" s="442"/>
      <c r="E3" s="442"/>
      <c r="F3" s="442"/>
      <c r="G3" s="442"/>
      <c r="H3" s="442"/>
      <c r="I3" s="442"/>
      <c r="J3" s="442"/>
      <c r="K3" s="443"/>
      <c r="L3" s="99" t="s">
        <v>3</v>
      </c>
    </row>
    <row r="4" spans="1:14" x14ac:dyDescent="0.35">
      <c r="A4" s="442"/>
      <c r="B4" s="442"/>
      <c r="C4" s="442"/>
      <c r="D4" s="442"/>
      <c r="E4" s="442"/>
      <c r="F4" s="442"/>
      <c r="G4" s="442"/>
      <c r="H4" s="442"/>
      <c r="I4" s="442"/>
      <c r="J4" s="442"/>
      <c r="K4" s="443"/>
      <c r="L4" s="100" t="s">
        <v>4</v>
      </c>
    </row>
    <row r="5" spans="1:14" ht="29" x14ac:dyDescent="0.35">
      <c r="A5" s="442"/>
      <c r="B5" s="442"/>
      <c r="C5" s="442"/>
      <c r="D5" s="442"/>
      <c r="E5" s="442"/>
      <c r="F5" s="442"/>
      <c r="G5" s="442"/>
      <c r="H5" s="442"/>
      <c r="I5" s="442"/>
      <c r="J5" s="442"/>
      <c r="K5" s="443"/>
      <c r="L5" s="120" t="s">
        <v>5</v>
      </c>
    </row>
    <row r="6" spans="1:14" ht="43.5" x14ac:dyDescent="0.35">
      <c r="A6" s="442"/>
      <c r="B6" s="442"/>
      <c r="C6" s="442"/>
      <c r="D6" s="442"/>
      <c r="E6" s="442"/>
      <c r="F6" s="442"/>
      <c r="G6" s="442"/>
      <c r="H6" s="442"/>
      <c r="I6" s="442"/>
      <c r="J6" s="442"/>
      <c r="K6" s="443"/>
      <c r="L6" s="213" t="s">
        <v>6</v>
      </c>
    </row>
    <row r="7" spans="1:14" x14ac:dyDescent="0.35">
      <c r="A7" s="442"/>
      <c r="B7" s="442"/>
      <c r="C7" s="442"/>
      <c r="D7" s="442"/>
      <c r="E7" s="442"/>
      <c r="F7" s="442"/>
      <c r="G7" s="442"/>
      <c r="H7" s="442"/>
      <c r="I7" s="442"/>
      <c r="J7" s="442"/>
      <c r="K7" s="443"/>
    </row>
    <row r="8" spans="1:14" x14ac:dyDescent="0.35">
      <c r="A8" s="442"/>
      <c r="B8" s="442"/>
      <c r="C8" s="442"/>
      <c r="D8" s="442"/>
      <c r="E8" s="442"/>
      <c r="F8" s="442"/>
      <c r="G8" s="442"/>
      <c r="H8" s="442"/>
      <c r="I8" s="442"/>
      <c r="J8" s="442"/>
      <c r="K8" s="443"/>
      <c r="L8" s="101" t="s">
        <v>7</v>
      </c>
    </row>
    <row r="9" spans="1:14" ht="29" x14ac:dyDescent="0.35">
      <c r="A9" s="442"/>
      <c r="B9" s="442"/>
      <c r="C9" s="442"/>
      <c r="D9" s="442"/>
      <c r="E9" s="442"/>
      <c r="F9" s="442"/>
      <c r="G9" s="442"/>
      <c r="H9" s="442"/>
      <c r="I9" s="442"/>
      <c r="J9" s="442"/>
      <c r="K9" s="443"/>
      <c r="L9" s="108" t="s">
        <v>8</v>
      </c>
    </row>
    <row r="10" spans="1:14" ht="29" x14ac:dyDescent="0.35">
      <c r="A10" s="442"/>
      <c r="B10" s="442"/>
      <c r="C10" s="442"/>
      <c r="D10" s="442"/>
      <c r="E10" s="442"/>
      <c r="F10" s="442"/>
      <c r="G10" s="442"/>
      <c r="H10" s="442"/>
      <c r="I10" s="442"/>
      <c r="J10" s="442"/>
      <c r="K10" s="443"/>
      <c r="L10" s="110" t="s">
        <v>9</v>
      </c>
    </row>
    <row r="11" spans="1:14" x14ac:dyDescent="0.35">
      <c r="A11" s="442"/>
      <c r="B11" s="442"/>
      <c r="C11" s="442"/>
      <c r="D11" s="442"/>
      <c r="E11" s="442"/>
      <c r="F11" s="442"/>
      <c r="G11" s="442"/>
      <c r="H11" s="442"/>
      <c r="I11" s="442"/>
      <c r="J11" s="442"/>
      <c r="K11" s="443"/>
      <c r="L11" s="109"/>
      <c r="N11" t="s">
        <v>10</v>
      </c>
    </row>
    <row r="12" spans="1:14" x14ac:dyDescent="0.35">
      <c r="A12" s="442"/>
      <c r="B12" s="442"/>
      <c r="C12" s="442"/>
      <c r="D12" s="442"/>
      <c r="E12" s="442"/>
      <c r="F12" s="442"/>
      <c r="G12" s="442"/>
      <c r="H12" s="442"/>
      <c r="I12" s="442"/>
      <c r="J12" s="442"/>
      <c r="K12" s="443"/>
      <c r="L12" s="118" t="s">
        <v>11</v>
      </c>
    </row>
    <row r="13" spans="1:14" x14ac:dyDescent="0.35">
      <c r="A13" s="442"/>
      <c r="B13" s="442"/>
      <c r="C13" s="442"/>
      <c r="D13" s="442"/>
      <c r="E13" s="442"/>
      <c r="F13" s="442"/>
      <c r="G13" s="442"/>
      <c r="H13" s="442"/>
      <c r="I13" s="442"/>
      <c r="J13" s="442"/>
      <c r="K13" s="443"/>
      <c r="L13" s="112" t="s">
        <v>12</v>
      </c>
    </row>
    <row r="14" spans="1:14" x14ac:dyDescent="0.35">
      <c r="A14" s="442"/>
      <c r="B14" s="442"/>
      <c r="C14" s="442"/>
      <c r="D14" s="442"/>
      <c r="E14" s="442"/>
      <c r="F14" s="442"/>
      <c r="G14" s="442"/>
      <c r="H14" s="442"/>
      <c r="I14" s="442"/>
      <c r="J14" s="442"/>
      <c r="K14" s="443"/>
      <c r="L14"/>
    </row>
    <row r="15" spans="1:14" x14ac:dyDescent="0.35">
      <c r="A15" s="442"/>
      <c r="B15" s="442"/>
      <c r="C15" s="442"/>
      <c r="D15" s="442"/>
      <c r="E15" s="442"/>
      <c r="F15" s="442"/>
      <c r="G15" s="442"/>
      <c r="H15" s="442"/>
      <c r="I15" s="442"/>
      <c r="J15" s="442"/>
      <c r="K15" s="443"/>
      <c r="L15" s="109"/>
    </row>
    <row r="16" spans="1:14" x14ac:dyDescent="0.35">
      <c r="A16" s="442"/>
      <c r="B16" s="442"/>
      <c r="C16" s="442"/>
      <c r="D16" s="442"/>
      <c r="E16" s="442"/>
      <c r="F16" s="442"/>
      <c r="G16" s="442"/>
      <c r="H16" s="442"/>
      <c r="I16" s="442"/>
      <c r="J16" s="442"/>
      <c r="K16" s="443"/>
      <c r="L16" s="118" t="s">
        <v>13</v>
      </c>
    </row>
    <row r="17" spans="1:12" x14ac:dyDescent="0.35">
      <c r="A17" s="442"/>
      <c r="B17" s="442"/>
      <c r="C17" s="442"/>
      <c r="D17" s="442"/>
      <c r="E17" s="442"/>
      <c r="F17" s="442"/>
      <c r="G17" s="442"/>
      <c r="H17" s="442"/>
      <c r="I17" s="442"/>
      <c r="J17" s="442"/>
      <c r="K17" s="443"/>
      <c r="L17" s="113" t="s">
        <v>14</v>
      </c>
    </row>
    <row r="18" spans="1:12" ht="29" x14ac:dyDescent="0.35">
      <c r="A18" s="442"/>
      <c r="B18" s="442"/>
      <c r="C18" s="442"/>
      <c r="D18" s="442"/>
      <c r="E18" s="442"/>
      <c r="F18" s="442"/>
      <c r="G18" s="442"/>
      <c r="H18" s="442"/>
      <c r="I18" s="442"/>
      <c r="J18" s="442"/>
      <c r="K18" s="443"/>
      <c r="L18" s="114" t="s">
        <v>15</v>
      </c>
    </row>
    <row r="19" spans="1:12" x14ac:dyDescent="0.35">
      <c r="A19" s="442"/>
      <c r="B19" s="442"/>
      <c r="C19" s="442"/>
      <c r="D19" s="442"/>
      <c r="E19" s="442"/>
      <c r="F19" s="442"/>
      <c r="G19" s="442"/>
      <c r="H19" s="442"/>
      <c r="I19" s="442"/>
      <c r="J19" s="442"/>
      <c r="K19" s="443"/>
      <c r="L19" s="284" t="s">
        <v>16</v>
      </c>
    </row>
    <row r="20" spans="1:12" x14ac:dyDescent="0.35">
      <c r="A20" s="442"/>
      <c r="B20" s="442"/>
      <c r="C20" s="442"/>
      <c r="D20" s="442"/>
      <c r="E20" s="442"/>
      <c r="F20" s="442"/>
      <c r="G20" s="442"/>
      <c r="H20" s="442"/>
      <c r="I20" s="442"/>
      <c r="J20" s="442"/>
      <c r="K20" s="443"/>
    </row>
    <row r="21" spans="1:12" x14ac:dyDescent="0.35">
      <c r="A21" s="442"/>
      <c r="B21" s="442"/>
      <c r="C21" s="442"/>
      <c r="D21" s="442"/>
      <c r="E21" s="442"/>
      <c r="F21" s="442"/>
      <c r="G21" s="442"/>
      <c r="H21" s="442"/>
      <c r="I21" s="442"/>
      <c r="J21" s="442"/>
      <c r="K21" s="443"/>
      <c r="L21" s="118" t="s">
        <v>17</v>
      </c>
    </row>
    <row r="22" spans="1:12" ht="29" x14ac:dyDescent="0.35">
      <c r="A22" s="442"/>
      <c r="B22" s="442"/>
      <c r="C22" s="442"/>
      <c r="D22" s="442"/>
      <c r="E22" s="442"/>
      <c r="F22" s="442"/>
      <c r="G22" s="442"/>
      <c r="H22" s="442"/>
      <c r="I22" s="442"/>
      <c r="J22" s="442"/>
      <c r="K22" s="443"/>
      <c r="L22" s="121" t="s">
        <v>18</v>
      </c>
    </row>
    <row r="23" spans="1:12" x14ac:dyDescent="0.35">
      <c r="A23" s="442"/>
      <c r="B23" s="442"/>
      <c r="C23" s="442"/>
      <c r="D23" s="442"/>
      <c r="E23" s="442"/>
      <c r="F23" s="442"/>
      <c r="G23" s="442"/>
      <c r="H23" s="442"/>
      <c r="I23" s="442"/>
      <c r="J23" s="442"/>
      <c r="K23" s="443"/>
      <c r="L23" s="115" t="s">
        <v>19</v>
      </c>
    </row>
    <row r="24" spans="1:12" x14ac:dyDescent="0.35">
      <c r="A24" s="442"/>
      <c r="B24" s="442"/>
      <c r="C24" s="442"/>
      <c r="D24" s="442"/>
      <c r="E24" s="442"/>
      <c r="F24" s="442"/>
      <c r="G24" s="442"/>
      <c r="H24" s="442"/>
      <c r="I24" s="442"/>
      <c r="J24" s="442"/>
      <c r="K24" s="443"/>
      <c r="L24" s="116" t="s">
        <v>20</v>
      </c>
    </row>
    <row r="25" spans="1:12" x14ac:dyDescent="0.35">
      <c r="A25" s="442"/>
      <c r="B25" s="442"/>
      <c r="C25" s="442"/>
      <c r="D25" s="442"/>
      <c r="E25" s="442"/>
      <c r="F25" s="442"/>
      <c r="G25" s="442"/>
      <c r="H25" s="442"/>
      <c r="I25" s="442"/>
      <c r="J25" s="442"/>
      <c r="K25" s="443"/>
    </row>
    <row r="26" spans="1:12" x14ac:dyDescent="0.35">
      <c r="A26" s="442"/>
      <c r="B26" s="442"/>
      <c r="C26" s="442"/>
      <c r="D26" s="442"/>
      <c r="E26" s="442"/>
      <c r="F26" s="442"/>
      <c r="G26" s="442"/>
      <c r="H26" s="442"/>
      <c r="I26" s="442"/>
      <c r="J26" s="442"/>
      <c r="K26" s="443"/>
    </row>
    <row r="27" spans="1:12" x14ac:dyDescent="0.35">
      <c r="A27" s="442"/>
      <c r="B27" s="442"/>
      <c r="C27" s="442"/>
      <c r="D27" s="442"/>
      <c r="E27" s="442"/>
      <c r="F27" s="442"/>
      <c r="G27" s="442"/>
      <c r="H27" s="442"/>
      <c r="I27" s="442"/>
      <c r="J27" s="442"/>
      <c r="K27" s="443"/>
    </row>
  </sheetData>
  <sheetProtection sheet="1" objects="1" scenarios="1"/>
  <mergeCells count="1">
    <mergeCell ref="A1:K27"/>
  </mergeCells>
  <conditionalFormatting sqref="L23:L24">
    <cfRule type="cellIs" dxfId="20" priority="1" operator="lessThan">
      <formula>1</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E30585-F565-4D43-BCBF-EFF7CDD00BFB}">
  <sheetPr codeName="Leht2">
    <tabColor rgb="FF5DD5FF"/>
  </sheetPr>
  <dimension ref="A1:K60"/>
  <sheetViews>
    <sheetView zoomScale="90" zoomScaleNormal="90" workbookViewId="0">
      <selection activeCell="B15" sqref="B15"/>
    </sheetView>
  </sheetViews>
  <sheetFormatPr defaultColWidth="8.81640625" defaultRowHeight="14.5" x14ac:dyDescent="0.35"/>
  <cols>
    <col min="1" max="1" width="47.1796875" customWidth="1"/>
    <col min="2" max="2" width="27.1796875" customWidth="1"/>
    <col min="3" max="3" width="24.1796875" customWidth="1"/>
    <col min="4" max="6" width="16.81640625" customWidth="1"/>
    <col min="7" max="7" width="15.81640625" customWidth="1"/>
    <col min="8" max="8" width="15.453125" customWidth="1"/>
    <col min="9" max="10" width="13.1796875" customWidth="1"/>
    <col min="11" max="11" width="13.453125" customWidth="1"/>
  </cols>
  <sheetData>
    <row r="1" spans="1:8" ht="89.15" customHeight="1" x14ac:dyDescent="0.35">
      <c r="A1" s="454" t="s">
        <v>21</v>
      </c>
      <c r="B1" s="454"/>
      <c r="C1" s="454"/>
      <c r="D1" s="454"/>
      <c r="E1" s="454"/>
      <c r="F1" s="454"/>
    </row>
    <row r="2" spans="1:8" ht="18.5" x14ac:dyDescent="0.45">
      <c r="A2" s="40" t="s">
        <v>22</v>
      </c>
    </row>
    <row r="3" spans="1:8" x14ac:dyDescent="0.35">
      <c r="A3" s="414" t="s">
        <v>23</v>
      </c>
      <c r="B3" s="308"/>
    </row>
    <row r="4" spans="1:8" x14ac:dyDescent="0.35">
      <c r="A4" s="55" t="s">
        <v>24</v>
      </c>
      <c r="B4" s="456" t="s">
        <v>495</v>
      </c>
      <c r="C4" s="456"/>
      <c r="D4" s="456"/>
      <c r="E4" s="456"/>
      <c r="F4" s="456"/>
    </row>
    <row r="5" spans="1:8" x14ac:dyDescent="0.35">
      <c r="A5" s="55" t="s">
        <v>25</v>
      </c>
      <c r="B5" s="264">
        <v>5000</v>
      </c>
      <c r="C5" s="462" t="str">
        <f>IF(B5&lt;2000,"Alla 2000 külastajaga sündmuste mõju mudel usalduväärselt ei prognoosi",IF(B5&gt;50000,"Mudel ei prognoosi usaldusväärselt üle 50 000 külastajaga sündmuse mõju","Mudel töötab, kui külastajate arv on vahemikus 2000 - 50 000"))</f>
        <v>Mudel töötab, kui külastajate arv on vahemikus 2000 - 50 000</v>
      </c>
      <c r="D5" s="462"/>
      <c r="E5" s="462"/>
      <c r="F5" s="462"/>
    </row>
    <row r="6" spans="1:8" x14ac:dyDescent="0.35">
      <c r="A6" s="55" t="s">
        <v>26</v>
      </c>
      <c r="B6" s="265">
        <v>2</v>
      </c>
      <c r="C6" s="91" t="s">
        <v>27</v>
      </c>
      <c r="D6" s="91"/>
      <c r="E6" s="91"/>
      <c r="F6" s="91"/>
    </row>
    <row r="7" spans="1:8" s="26" customFormat="1" x14ac:dyDescent="0.35">
      <c r="A7" s="56" t="s">
        <v>28</v>
      </c>
      <c r="B7" s="266" t="s">
        <v>201</v>
      </c>
      <c r="C7"/>
      <c r="D7"/>
      <c r="E7"/>
      <c r="F7"/>
    </row>
    <row r="8" spans="1:8" x14ac:dyDescent="0.35">
      <c r="A8" s="55" t="s">
        <v>29</v>
      </c>
      <c r="B8" s="265" t="s">
        <v>450</v>
      </c>
      <c r="C8" s="460" t="str">
        <f>IF(B8="Muu piirkond","Kirjuta alla sinisesse lahtrisse uuritava piirkonna elanike arv:",IF('KOV-id'!E6&lt;5000,"NB! Alla 5000 elanikuga KOV-ide puhul ei prognoosi mudel sündmusi usaldusväärselt",""))</f>
        <v/>
      </c>
      <c r="D8" s="460"/>
      <c r="E8" s="460"/>
      <c r="F8" s="460"/>
      <c r="G8" s="415"/>
    </row>
    <row r="9" spans="1:8" ht="15" customHeight="1" x14ac:dyDescent="0.35">
      <c r="A9" s="56" t="s">
        <v>30</v>
      </c>
      <c r="B9" s="354" t="s">
        <v>251</v>
      </c>
      <c r="C9" s="53"/>
    </row>
    <row r="10" spans="1:8" x14ac:dyDescent="0.35">
      <c r="A10" s="51" t="s">
        <v>31</v>
      </c>
      <c r="B10" s="326" t="s">
        <v>215</v>
      </c>
      <c r="C10" s="91" t="s">
        <v>32</v>
      </c>
      <c r="D10" s="91"/>
      <c r="E10" s="91"/>
      <c r="F10" s="91"/>
    </row>
    <row r="11" spans="1:8" x14ac:dyDescent="0.35">
      <c r="A11" s="155" t="s">
        <v>33</v>
      </c>
      <c r="B11" s="268" t="s">
        <v>252</v>
      </c>
      <c r="C11" s="91" t="s">
        <v>34</v>
      </c>
      <c r="D11" s="91"/>
      <c r="E11" s="91"/>
      <c r="F11" s="91"/>
    </row>
    <row r="12" spans="1:8" x14ac:dyDescent="0.35">
      <c r="A12" s="155" t="s">
        <v>35</v>
      </c>
      <c r="B12" s="267" t="s">
        <v>288</v>
      </c>
    </row>
    <row r="13" spans="1:8" x14ac:dyDescent="0.35">
      <c r="A13" s="368" t="s">
        <v>36</v>
      </c>
    </row>
    <row r="14" spans="1:8" ht="29" x14ac:dyDescent="0.35">
      <c r="A14" s="10" t="s">
        <v>37</v>
      </c>
      <c r="B14" s="57" t="s">
        <v>38</v>
      </c>
      <c r="C14" s="362" t="s">
        <v>38</v>
      </c>
      <c r="D14" s="150" t="s">
        <v>39</v>
      </c>
      <c r="E14" s="358" t="s">
        <v>40</v>
      </c>
      <c r="F14" s="358" t="s">
        <v>41</v>
      </c>
      <c r="G14" s="418" t="s">
        <v>40</v>
      </c>
      <c r="H14" s="418" t="s">
        <v>41</v>
      </c>
    </row>
    <row r="15" spans="1:8" x14ac:dyDescent="0.35">
      <c r="A15" s="359" t="s">
        <v>42</v>
      </c>
      <c r="B15" s="438"/>
      <c r="C15" s="363">
        <f>IF(B15&lt;&gt;"",B15,0.17-0.035*'KOV-id'!F6)</f>
        <v>6.5000000000000002E-2</v>
      </c>
      <c r="D15" s="364">
        <f>C15*B5</f>
        <v>325</v>
      </c>
      <c r="E15" s="267"/>
      <c r="F15" s="267"/>
      <c r="G15" s="419">
        <f>IF(Sisend!E15="",IF('KOV-id'!F6=1,H15,H15+1),Sisend!E15)</f>
        <v>5.6219999999999999</v>
      </c>
      <c r="H15" s="420">
        <f>IF(Sisend!F15="",1.7+0.217*maj_arvutused!I10+1.244*Parameetrid!L38,Sisend!F15)</f>
        <v>4.6219999999999999</v>
      </c>
    </row>
    <row r="16" spans="1:8" x14ac:dyDescent="0.35">
      <c r="A16" s="360" t="s">
        <v>43</v>
      </c>
      <c r="B16" s="438"/>
      <c r="C16" s="363">
        <f>IF(B16&lt;&gt;"",B16,1.89-LN('KOV-id'!E6)*0.128)</f>
        <v>0.76844140680513218</v>
      </c>
      <c r="D16" s="364">
        <f>C16*B5</f>
        <v>3842.207034025661</v>
      </c>
      <c r="F16" s="267"/>
      <c r="H16" s="389">
        <f>IF(Sisend!F16="",IF(Parameetrid!K38="K",3.05,1.875),Sisend!F16)</f>
        <v>3.05</v>
      </c>
    </row>
    <row r="17" spans="1:11" x14ac:dyDescent="0.35">
      <c r="A17" s="360" t="s">
        <v>44</v>
      </c>
      <c r="B17" s="438"/>
      <c r="C17" s="363">
        <f>IF(B17&lt;&gt;"",B17,1-C15-C16)</f>
        <v>0.16655859319486788</v>
      </c>
      <c r="D17" s="365">
        <f>C17*B5</f>
        <v>832.79296597433938</v>
      </c>
    </row>
    <row r="18" spans="1:11" x14ac:dyDescent="0.35">
      <c r="A18" s="57" t="s">
        <v>45</v>
      </c>
      <c r="B18" s="217"/>
      <c r="C18" s="366">
        <f>SUM(C15:C17)</f>
        <v>1</v>
      </c>
      <c r="D18" s="367">
        <f>B5</f>
        <v>5000</v>
      </c>
    </row>
    <row r="19" spans="1:11" ht="15.5" x14ac:dyDescent="0.35">
      <c r="A19" s="49"/>
    </row>
    <row r="20" spans="1:11" ht="18.5" x14ac:dyDescent="0.45">
      <c r="A20" s="40" t="s">
        <v>46</v>
      </c>
    </row>
    <row r="21" spans="1:11" x14ac:dyDescent="0.35">
      <c r="A21" s="406" t="s">
        <v>47</v>
      </c>
    </row>
    <row r="22" spans="1:11" ht="15.5" x14ac:dyDescent="0.35">
      <c r="A22" s="49" t="s">
        <v>48</v>
      </c>
      <c r="B22" s="461" t="str">
        <f>IF((G28-D31)&lt;0,"NB! Praeguse eelarve järgi sündmuse kulud ületavad tulusid. Täienda eelarvet!","")</f>
        <v>NB! Praeguse eelarve järgi sündmuse kulud ületavad tulusid. Täienda eelarvet!</v>
      </c>
      <c r="C22" s="461"/>
      <c r="D22" s="461"/>
      <c r="E22" s="461"/>
    </row>
    <row r="23" spans="1:11" ht="34.5" customHeight="1" x14ac:dyDescent="0.35">
      <c r="A23" s="407" t="s">
        <v>49</v>
      </c>
      <c r="B23" s="411" t="s">
        <v>50</v>
      </c>
      <c r="C23" s="412" t="s">
        <v>51</v>
      </c>
      <c r="D23" s="65" t="s">
        <v>52</v>
      </c>
      <c r="E23" s="413" t="s">
        <v>53</v>
      </c>
      <c r="F23" s="413" t="s">
        <v>54</v>
      </c>
      <c r="G23" s="369" t="s">
        <v>50</v>
      </c>
      <c r="H23" s="370" t="s">
        <v>51</v>
      </c>
      <c r="I23" s="371" t="s">
        <v>52</v>
      </c>
      <c r="J23" s="372" t="s">
        <v>53</v>
      </c>
      <c r="K23" s="372" t="s">
        <v>54</v>
      </c>
    </row>
    <row r="24" spans="1:11" x14ac:dyDescent="0.35">
      <c r="A24" s="408" t="s">
        <v>55</v>
      </c>
      <c r="B24" s="269"/>
      <c r="C24" s="270"/>
      <c r="D24" s="270"/>
      <c r="E24" s="271"/>
      <c r="F24" s="271"/>
      <c r="G24" s="373">
        <f>IF(B24&lt;&gt;"",B24,VLOOKUP(Parameetrid!A19,Parameetrid!O12:Q14,3)*B5)</f>
        <v>440400</v>
      </c>
      <c r="H24" s="374">
        <f>IF(C24&lt;&gt;"",C24,IF(Parameetrid!B19=1,G24,G24*C15))</f>
        <v>28626</v>
      </c>
      <c r="I24" s="374">
        <f>IF(D24&lt;&gt;"",D24,G24-H24)</f>
        <v>411774</v>
      </c>
      <c r="J24" s="375">
        <f>IF(E24&lt;&gt;"",E24,IF(I24&gt;0,I24*C17/SUM(C16:C17),0))</f>
        <v>73352.404443019797</v>
      </c>
      <c r="K24" s="375">
        <f>IF(F24&lt;&gt;"",F24,I24-J24)</f>
        <v>338421.59555698023</v>
      </c>
    </row>
    <row r="25" spans="1:11" x14ac:dyDescent="0.35">
      <c r="A25" s="409" t="s">
        <v>56</v>
      </c>
      <c r="B25" s="269"/>
      <c r="C25" s="270"/>
      <c r="D25" s="270"/>
      <c r="E25" s="271"/>
      <c r="F25" s="271"/>
      <c r="G25" s="373">
        <f>IF(B25&lt;&gt;"",B25,VLOOKUP(Parameetrid!A19,Parameetrid!O12:P14,2)*B5)</f>
        <v>0</v>
      </c>
      <c r="H25" s="374">
        <f>IF(C25&lt;&gt;"",C25,G25*C15)</f>
        <v>0</v>
      </c>
      <c r="I25" s="374">
        <f>IF(D25&lt;&gt;"",D25,G25-H25)</f>
        <v>0</v>
      </c>
      <c r="J25" s="375">
        <f>IF(E25&lt;&gt;"",E25,C17*G25)</f>
        <v>0</v>
      </c>
      <c r="K25" s="375">
        <f>IF(F25&lt;&gt;"",F25,I25-J25)</f>
        <v>0</v>
      </c>
    </row>
    <row r="26" spans="1:11" x14ac:dyDescent="0.35">
      <c r="A26" s="409" t="s">
        <v>57</v>
      </c>
      <c r="B26" s="269"/>
      <c r="C26" s="270"/>
      <c r="D26" s="270"/>
      <c r="E26" s="271"/>
      <c r="F26" s="271"/>
      <c r="G26" s="373">
        <f>IF(B26&lt;&gt;"",B26,Parameetrid!K23+VLOOKUP(Parameetrid!A19,Parameetrid!O12:R14,4)*B5)</f>
        <v>41600</v>
      </c>
      <c r="H26" s="374">
        <f>IF(C26&lt;&gt;"",C26,Parameetrid!K23+(G26-Parameetrid!K23)*C15)</f>
        <v>12054</v>
      </c>
      <c r="I26" s="374">
        <f>IF(D26&lt;&gt;"",D26,G26-H26)</f>
        <v>29546</v>
      </c>
      <c r="J26" s="375">
        <f>IF(E26&lt;&gt;"",E26,IF(I26&gt;0,I26*C17/SUM(C16:C17),0))</f>
        <v>5263.251544957825</v>
      </c>
      <c r="K26" s="375">
        <f>IF(F26&lt;&gt;"",F26,I26-J26)</f>
        <v>24282.748455042176</v>
      </c>
    </row>
    <row r="27" spans="1:11" x14ac:dyDescent="0.35">
      <c r="A27" s="409" t="s">
        <v>58</v>
      </c>
      <c r="B27" s="269"/>
      <c r="C27" s="270"/>
      <c r="D27" s="270"/>
      <c r="E27" s="271"/>
      <c r="F27" s="271"/>
      <c r="G27" s="373">
        <f>B27</f>
        <v>0</v>
      </c>
      <c r="H27" s="374">
        <f>C27</f>
        <v>0</v>
      </c>
      <c r="I27" s="374">
        <f>IF(D27&lt;&gt;"",D27,G27-H27)</f>
        <v>0</v>
      </c>
      <c r="J27" s="375">
        <f>E27</f>
        <v>0</v>
      </c>
      <c r="K27" s="375">
        <f>IF(F27&lt;&gt;"",F27,I27-J27)</f>
        <v>0</v>
      </c>
    </row>
    <row r="28" spans="1:11" x14ac:dyDescent="0.35">
      <c r="A28" s="410" t="s">
        <v>59</v>
      </c>
      <c r="B28" s="416">
        <f>SUM(B24:B27)</f>
        <v>0</v>
      </c>
      <c r="C28" s="416">
        <f>SUM(C24:C27)</f>
        <v>0</v>
      </c>
      <c r="D28" s="416">
        <f>SUM(D24:D27)</f>
        <v>0</v>
      </c>
      <c r="E28" s="416">
        <f>SUM(E24:E27)</f>
        <v>0</v>
      </c>
      <c r="F28" s="416">
        <f>SUM(F24:F27)</f>
        <v>0</v>
      </c>
      <c r="G28" s="376">
        <f>G24+G25+G26+G27</f>
        <v>482000</v>
      </c>
      <c r="H28" s="376">
        <f>H24+H25+H26+H27</f>
        <v>40680</v>
      </c>
      <c r="I28" s="376">
        <f>I24+I25+I26+I27</f>
        <v>441320</v>
      </c>
      <c r="J28" s="377">
        <f>J24+J25+J26+J27</f>
        <v>78615.655987977618</v>
      </c>
      <c r="K28" s="377">
        <f>K24+K25+K26+K27</f>
        <v>362704.34401202243</v>
      </c>
    </row>
    <row r="29" spans="1:11" x14ac:dyDescent="0.35">
      <c r="E29" s="5" t="s">
        <v>60</v>
      </c>
      <c r="F29" s="417"/>
      <c r="J29" s="378" t="s">
        <v>60</v>
      </c>
      <c r="K29" s="379">
        <f>IF(F29&lt;&gt;"",F29,K27)</f>
        <v>0</v>
      </c>
    </row>
    <row r="30" spans="1:11" ht="32.15" customHeight="1" x14ac:dyDescent="0.35">
      <c r="A30" s="400" t="s">
        <v>61</v>
      </c>
      <c r="B30" s="30" t="s">
        <v>50</v>
      </c>
      <c r="C30" s="405" t="s">
        <v>62</v>
      </c>
      <c r="D30" s="380" t="s">
        <v>50</v>
      </c>
      <c r="E30" s="380" t="s">
        <v>62</v>
      </c>
    </row>
    <row r="31" spans="1:11" ht="15" customHeight="1" x14ac:dyDescent="0.35">
      <c r="A31" s="401" t="s">
        <v>63</v>
      </c>
      <c r="B31" s="272"/>
      <c r="C31" s="272"/>
      <c r="D31" s="381">
        <f>IF(B31&lt;&gt;"",B31,211467+59*$B$5)</f>
        <v>506467</v>
      </c>
      <c r="E31" s="381">
        <f>IF(C31&lt;&gt;"",C31,IF(B31="",56.02*B5,B31*0.9))</f>
        <v>280100</v>
      </c>
      <c r="F31" s="444" t="s">
        <v>64</v>
      </c>
      <c r="G31" s="445"/>
      <c r="H31" s="445"/>
      <c r="I31" s="445"/>
    </row>
    <row r="32" spans="1:11" ht="30.65" customHeight="1" x14ac:dyDescent="0.35">
      <c r="A32" s="402" t="s">
        <v>65</v>
      </c>
      <c r="B32" s="30" t="s">
        <v>50</v>
      </c>
      <c r="C32" s="405" t="s">
        <v>62</v>
      </c>
      <c r="D32" s="380" t="s">
        <v>50</v>
      </c>
      <c r="E32" s="384" t="s">
        <v>62</v>
      </c>
      <c r="F32" s="457" t="s">
        <v>66</v>
      </c>
      <c r="G32" s="457"/>
      <c r="H32" s="457"/>
      <c r="I32" s="457"/>
    </row>
    <row r="33" spans="1:9" x14ac:dyDescent="0.35">
      <c r="A33" s="403" t="s">
        <v>67</v>
      </c>
      <c r="B33" s="273"/>
      <c r="C33" s="273"/>
      <c r="D33" s="385">
        <f>IF(B33&lt;&gt;"",B33,0.058*D$31)</f>
        <v>29375.086000000003</v>
      </c>
      <c r="E33" s="385">
        <f>IF(C33&lt;&gt;"",C33,0.054*E$31)</f>
        <v>15125.4</v>
      </c>
      <c r="F33" s="53"/>
    </row>
    <row r="34" spans="1:9" x14ac:dyDescent="0.35">
      <c r="A34" s="403" t="s">
        <v>68</v>
      </c>
      <c r="B34" s="273"/>
      <c r="C34" s="273"/>
      <c r="D34" s="385">
        <f>IF(B34&lt;&gt;"",B34,0.098*D$31)</f>
        <v>49633.766000000003</v>
      </c>
      <c r="E34" s="385">
        <f>IF(C34&lt;&gt;"",C34,0.092*E$31)</f>
        <v>25769.200000000001</v>
      </c>
      <c r="F34" s="53"/>
    </row>
    <row r="35" spans="1:9" x14ac:dyDescent="0.35">
      <c r="A35" s="403" t="s">
        <v>69</v>
      </c>
      <c r="B35" s="273"/>
      <c r="C35" s="273"/>
      <c r="D35" s="385">
        <f>IF(B35&lt;&gt;"",B35,0.101*D$31)</f>
        <v>51153.167000000001</v>
      </c>
      <c r="E35" s="385">
        <f>IF(C35&lt;&gt;"",C35,IF(B9="Ei",D35,0.096*E$31))</f>
        <v>51153.167000000001</v>
      </c>
      <c r="F35" s="53"/>
    </row>
    <row r="36" spans="1:9" x14ac:dyDescent="0.35">
      <c r="A36" s="403" t="s">
        <v>70</v>
      </c>
      <c r="B36" s="273"/>
      <c r="C36" s="273"/>
      <c r="D36" s="385">
        <f>IF(B36&lt;&gt;"",B36,0.089*D$31)</f>
        <v>45075.562999999995</v>
      </c>
      <c r="E36" s="385">
        <f>IF(C36&lt;&gt;"",C36,0.081*E$31)</f>
        <v>22688.100000000002</v>
      </c>
      <c r="F36" s="53"/>
    </row>
    <row r="37" spans="1:9" ht="29.15" customHeight="1" x14ac:dyDescent="0.35">
      <c r="A37" s="404" t="s">
        <v>71</v>
      </c>
      <c r="B37" s="273"/>
      <c r="C37" s="273"/>
      <c r="D37" s="385">
        <f>IF(B37&lt;&gt;"",B37,0.323*D$31)</f>
        <v>163588.84100000001</v>
      </c>
      <c r="E37" s="385">
        <f>IF(C37&lt;&gt;"",C37,0.311*E$31)</f>
        <v>87111.1</v>
      </c>
      <c r="F37" s="458" t="s">
        <v>72</v>
      </c>
      <c r="G37" s="459"/>
      <c r="H37" s="459"/>
      <c r="I37" s="459"/>
    </row>
    <row r="38" spans="1:9" x14ac:dyDescent="0.35">
      <c r="A38" s="403" t="s">
        <v>73</v>
      </c>
      <c r="B38" s="273"/>
      <c r="C38" s="273"/>
      <c r="D38" s="385">
        <f>IF(B38&lt;&gt;"",B38,D31-SUM(D33:D37))</f>
        <v>167640.57699999999</v>
      </c>
      <c r="E38" s="385">
        <f>IF(C38&lt;&gt;"",C38,E31-SUM(E33:E37))</f>
        <v>78253.032999999996</v>
      </c>
      <c r="F38" s="386" t="s">
        <v>74</v>
      </c>
      <c r="G38" s="91"/>
      <c r="H38" s="91"/>
      <c r="I38" s="91"/>
    </row>
    <row r="39" spans="1:9" x14ac:dyDescent="0.35">
      <c r="B39" s="455" t="str">
        <f>IF(SUM(D33:D38)=D31,"Mudel võtab arvesse iga kulurida","Mudel kuluridu ei arvesta, sest summa ei klapi")</f>
        <v>Mudel võtab arvesse iga kulurida</v>
      </c>
      <c r="C39" s="455"/>
    </row>
    <row r="40" spans="1:9" ht="15.5" x14ac:dyDescent="0.35">
      <c r="A40" s="49" t="s">
        <v>75</v>
      </c>
      <c r="B40" s="214"/>
    </row>
    <row r="41" spans="1:9" x14ac:dyDescent="0.35">
      <c r="A41" s="399" t="s">
        <v>76</v>
      </c>
      <c r="B41" s="274"/>
      <c r="C41" s="387">
        <f>IF(B41&lt;&gt;"",B41,E37*sots_arvutused!L2/Parameetrid!O16)</f>
        <v>482.41906645569617</v>
      </c>
      <c r="D41" s="444" t="s">
        <v>77</v>
      </c>
      <c r="E41" s="445"/>
      <c r="F41" s="445"/>
      <c r="G41" s="445"/>
      <c r="H41" s="445"/>
      <c r="I41" s="445"/>
    </row>
    <row r="42" spans="1:9" x14ac:dyDescent="0.35">
      <c r="A42" s="399" t="s">
        <v>78</v>
      </c>
      <c r="B42" s="275"/>
      <c r="C42" s="388">
        <f>IF(B42&lt;&gt;"",B42,sots_arvutused!L9*sots_arvutused!L1)</f>
        <v>250</v>
      </c>
      <c r="D42" s="452" t="s">
        <v>79</v>
      </c>
      <c r="E42" s="453"/>
      <c r="F42" s="453"/>
      <c r="G42" s="453"/>
      <c r="H42" s="453"/>
      <c r="I42" s="453"/>
    </row>
    <row r="44" spans="1:9" ht="15.5" x14ac:dyDescent="0.35">
      <c r="A44" s="49" t="s">
        <v>80</v>
      </c>
    </row>
    <row r="45" spans="1:9" x14ac:dyDescent="0.35">
      <c r="A45" s="395" t="s">
        <v>81</v>
      </c>
      <c r="B45" s="275"/>
      <c r="C45" s="389" t="str">
        <f>IF(B45&lt;&gt;"",B45,VLOOKUP(Parameetrid!B35,Parameetrid!O31:P38,2,FALSE))</f>
        <v>Oluline mitmes sihtriigis</v>
      </c>
    </row>
    <row r="46" spans="1:9" x14ac:dyDescent="0.35">
      <c r="A46" s="395" t="s">
        <v>82</v>
      </c>
      <c r="B46" s="275"/>
      <c r="C46" s="389" t="str">
        <f>IF(B46&lt;&gt;"",B46,VLOOKUP(Parameetrid!B35,Parameetrid!O31:P38,2,FALSE))</f>
        <v>Oluline mitmes sihtriigis</v>
      </c>
    </row>
    <row r="47" spans="1:9" x14ac:dyDescent="0.35">
      <c r="A47" s="448" t="s">
        <v>83</v>
      </c>
      <c r="B47" s="449"/>
      <c r="C47" s="390">
        <f>D35-E35</f>
        <v>0</v>
      </c>
      <c r="D47" s="391"/>
    </row>
    <row r="48" spans="1:9" x14ac:dyDescent="0.35">
      <c r="A48" s="450" t="s">
        <v>84</v>
      </c>
      <c r="B48" s="451"/>
      <c r="C48" s="392">
        <f>E35</f>
        <v>51153.167000000001</v>
      </c>
      <c r="D48" s="391"/>
    </row>
    <row r="49" spans="1:9" x14ac:dyDescent="0.35">
      <c r="A49" s="397" t="s">
        <v>85</v>
      </c>
      <c r="B49" s="276"/>
      <c r="C49" s="393">
        <f>IF(B49&lt;&gt;"",B49,VLOOKUP(B10,Parameetrid!V49:W56,2,FALSE)*Sisend!D15*Parameetrid!W47)</f>
        <v>39</v>
      </c>
      <c r="D49" s="382" t="s">
        <v>86</v>
      </c>
      <c r="E49" s="383"/>
      <c r="F49" s="383"/>
      <c r="G49" s="383"/>
      <c r="H49" s="383"/>
      <c r="I49" s="383"/>
    </row>
    <row r="50" spans="1:9" x14ac:dyDescent="0.35">
      <c r="A50" s="396" t="s">
        <v>87</v>
      </c>
      <c r="B50" s="276"/>
      <c r="C50" s="393">
        <f>IF(B50&lt;&gt;"",B50,Parameetrid!B41)</f>
        <v>21601</v>
      </c>
      <c r="D50" s="382" t="s">
        <v>88</v>
      </c>
      <c r="E50" s="383"/>
      <c r="F50" s="383"/>
      <c r="G50" s="383"/>
      <c r="H50" s="383"/>
      <c r="I50" s="383"/>
    </row>
    <row r="51" spans="1:9" x14ac:dyDescent="0.35">
      <c r="A51" s="395" t="s">
        <v>89</v>
      </c>
      <c r="B51" s="277"/>
      <c r="C51" s="394">
        <f>IF(B51&lt;&gt;"",B51,IF(B7="Osaluspõhine spordisündmus",0,VLOOKUP(C46,Parameetrid!J15:L22,3,FALSE)))</f>
        <v>0</v>
      </c>
      <c r="D51" s="446" t="str">
        <f>IF(B7="Osaluspõhine spordisündmus","Pole vaja sisestada.","Rahvusvaheliselt tuntud esinejate või võistlejate jälgijaskond Instagramis, Facebookis ja TikTokis (kokku)")</f>
        <v>Pole vaja sisestada.</v>
      </c>
      <c r="E51" s="447"/>
      <c r="F51" s="447"/>
      <c r="G51" s="447"/>
      <c r="H51" s="447"/>
      <c r="I51" s="447"/>
    </row>
    <row r="52" spans="1:9" x14ac:dyDescent="0.35">
      <c r="A52" s="398" t="s">
        <v>90</v>
      </c>
      <c r="B52" s="278"/>
      <c r="C52" s="371" t="str">
        <f>IF(B52&lt;&gt;"",B52,"Eestisisesed")</f>
        <v>Eestisisesed</v>
      </c>
    </row>
    <row r="56" spans="1:9" x14ac:dyDescent="0.35">
      <c r="A56" s="41"/>
    </row>
    <row r="60" spans="1:9" x14ac:dyDescent="0.35">
      <c r="A60" s="41"/>
    </row>
  </sheetData>
  <sheetProtection sheet="1" objects="1" scenarios="1"/>
  <mergeCells count="14">
    <mergeCell ref="A1:F1"/>
    <mergeCell ref="B39:C39"/>
    <mergeCell ref="B4:F4"/>
    <mergeCell ref="F32:I32"/>
    <mergeCell ref="F37:I37"/>
    <mergeCell ref="C8:F8"/>
    <mergeCell ref="F31:I31"/>
    <mergeCell ref="B22:E22"/>
    <mergeCell ref="C5:F5"/>
    <mergeCell ref="D41:I41"/>
    <mergeCell ref="D51:I51"/>
    <mergeCell ref="A47:B47"/>
    <mergeCell ref="A48:B48"/>
    <mergeCell ref="D42:I42"/>
  </mergeCells>
  <conditionalFormatting sqref="B22">
    <cfRule type="containsText" dxfId="19" priority="8" operator="containsText" text="NB! Praeguse eelarve järgi sündmuse kulud ületavad tulusid. Täienda eelarvet!">
      <formula>NOT(ISERROR(SEARCH("NB! Praeguse eelarve järgi sündmuse kulud ületavad tulusid. Täienda eelarvet!",B22)))</formula>
    </cfRule>
  </conditionalFormatting>
  <conditionalFormatting sqref="B28:K28">
    <cfRule type="cellIs" dxfId="18" priority="28" operator="notEqual">
      <formula>B24+B25+#REF!+B26+B27+#REF!+#REF!+#REF!+#REF!+#REF!+#REF!+#REF!+#REF!+#REF!+#REF!+#REF!</formula>
    </cfRule>
  </conditionalFormatting>
  <conditionalFormatting sqref="C9">
    <cfRule type="expression" dxfId="17" priority="1">
      <formula>$B$8="Muu piirkond"</formula>
    </cfRule>
  </conditionalFormatting>
  <conditionalFormatting sqref="C15:C16">
    <cfRule type="cellIs" dxfId="16" priority="11" operator="lessThan">
      <formula>0</formula>
    </cfRule>
  </conditionalFormatting>
  <conditionalFormatting sqref="C17">
    <cfRule type="cellIs" dxfId="15" priority="7" operator="lessThan">
      <formula>0</formula>
    </cfRule>
  </conditionalFormatting>
  <conditionalFormatting sqref="C18">
    <cfRule type="cellIs" dxfId="14" priority="17" operator="notEqual">
      <formula>1</formula>
    </cfRule>
  </conditionalFormatting>
  <conditionalFormatting sqref="C8:F8">
    <cfRule type="containsText" dxfId="13" priority="2" operator="containsText" text="Kirjuta alla sinisesse lahtrisse uuritava piirkonna elanike arv">
      <formula>NOT(ISERROR(SEARCH("Kirjuta alla sinisesse lahtrisse uuritava piirkonna elanike arv",C8)))</formula>
    </cfRule>
    <cfRule type="cellIs" dxfId="12" priority="4" operator="equal">
      <formula>"NB! Alla 5000 elanikuga KOV-ide puhul ei prognoosi mudel sündmusi usaldusväärselt"</formula>
    </cfRule>
  </conditionalFormatting>
  <conditionalFormatting sqref="D31:E31">
    <cfRule type="cellIs" dxfId="11" priority="20" operator="notEqual">
      <formula>SUM(D33:D38)</formula>
    </cfRule>
  </conditionalFormatting>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10">
        <x14:dataValidation type="list" allowBlank="1" showInputMessage="1" showErrorMessage="1" promptTitle="Vali KOV:" xr:uid="{54E44E1A-149C-4557-9132-B93C5D5D8A56}">
          <x14:formula1>
            <xm:f>'KOV-id'!$B$5:$B$84</xm:f>
          </x14:formula1>
          <xm:sqref>B8</xm:sqref>
        </x14:dataValidation>
        <x14:dataValidation type="list" allowBlank="1" showInputMessage="1" showErrorMessage="1" xr:uid="{F61B52F0-ED33-49AE-A2AE-BE7E0EE0A4F4}">
          <x14:formula1>
            <xm:f>Parameetrid!$G$24:$G$26</xm:f>
          </x14:formula1>
          <xm:sqref>B44</xm:sqref>
        </x14:dataValidation>
        <x14:dataValidation type="list" allowBlank="1" showInputMessage="1" showErrorMessage="1" promptTitle="Vali sündmuse tüüp:" xr:uid="{787589D1-EDEA-44F3-B100-DDAD1F74BC2D}">
          <x14:formula1>
            <xm:f>Parameetrid!$N$12:$N$14</xm:f>
          </x14:formula1>
          <xm:sqref>B7</xm:sqref>
        </x14:dataValidation>
        <x14:dataValidation type="list" allowBlank="1" showInputMessage="1" showErrorMessage="1" xr:uid="{884639A8-7E5B-4A64-8AEA-CEF146A58231}">
          <x14:formula1>
            <xm:f>Parameetrid!$G$29:$G$30</xm:f>
          </x14:formula1>
          <xm:sqref>B9</xm:sqref>
        </x14:dataValidation>
        <x14:dataValidation type="list" allowBlank="1" showInputMessage="1" showErrorMessage="1" xr:uid="{028F1A36-2135-40A6-92DD-C0C0699253E6}">
          <x14:formula1>
            <xm:f>Parameetrid!$J$25:$J$36</xm:f>
          </x14:formula1>
          <xm:sqref>B11</xm:sqref>
        </x14:dataValidation>
        <x14:dataValidation type="list" allowBlank="1" showInputMessage="1" showErrorMessage="1" xr:uid="{D2055E17-5106-4DDA-98D8-30DB8F4D8077}">
          <x14:formula1>
            <xm:f>Parameetrid!$J$15:$J$22</xm:f>
          </x14:formula1>
          <xm:sqref>B10</xm:sqref>
        </x14:dataValidation>
        <x14:dataValidation type="list" allowBlank="1" showInputMessage="1" showErrorMessage="1" xr:uid="{9EF57E5A-BC30-4FB5-8A12-403A5A47A22F}">
          <x14:formula1>
            <xm:f>Parameetrid!$J$16:$J$22</xm:f>
          </x14:formula1>
          <xm:sqref>B45:B46</xm:sqref>
        </x14:dataValidation>
        <x14:dataValidation type="list" allowBlank="1" showInputMessage="1" showErrorMessage="1" xr:uid="{29B9A621-C3A1-40FB-9E6F-0018FA2F7485}">
          <x14:formula1>
            <xm:f>Parameetrid!$P$54:$P$56</xm:f>
          </x14:formula1>
          <xm:sqref>B52</xm:sqref>
        </x14:dataValidation>
        <x14:dataValidation type="list" allowBlank="1" showInputMessage="1" showErrorMessage="1" xr:uid="{65CCA6C5-651F-41DB-A272-D0ADF68DC595}">
          <x14:formula1>
            <xm:f>Parameetrid!$P$59:$P$64</xm:f>
          </x14:formula1>
          <xm:sqref>B51</xm:sqref>
        </x14:dataValidation>
        <x14:dataValidation type="list" allowBlank="1" showInputMessage="1" showErrorMessage="1" xr:uid="{645C0C8C-CDB1-47B9-B352-3ECBF5D2294E}">
          <x14:formula1>
            <xm:f>Parameetrid!$S$60:$S$64</xm:f>
          </x14:formula1>
          <xm:sqref>B12</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2DDF60-5C8B-467E-A7A4-D964F0F9E534}">
  <sheetPr codeName="Leht3">
    <tabColor rgb="FFFFCCFF"/>
  </sheetPr>
  <dimension ref="A1:N46"/>
  <sheetViews>
    <sheetView zoomScaleNormal="100" workbookViewId="0">
      <selection activeCell="H4" sqref="H4"/>
    </sheetView>
  </sheetViews>
  <sheetFormatPr defaultColWidth="8.81640625" defaultRowHeight="14.5" x14ac:dyDescent="0.35"/>
  <cols>
    <col min="1" max="1" width="45.81640625" customWidth="1"/>
    <col min="2" max="2" width="15.81640625" customWidth="1"/>
    <col min="3" max="3" width="26.81640625" customWidth="1"/>
    <col min="4" max="4" width="24.81640625" customWidth="1"/>
    <col min="5" max="14" width="15.81640625" customWidth="1"/>
    <col min="15" max="15" width="12.81640625" customWidth="1"/>
  </cols>
  <sheetData>
    <row r="1" spans="1:10" ht="45.65" customHeight="1" x14ac:dyDescent="0.35">
      <c r="A1" s="464" t="s">
        <v>91</v>
      </c>
      <c r="B1" s="464"/>
      <c r="C1" s="464"/>
      <c r="D1" s="464"/>
      <c r="E1" s="464"/>
      <c r="F1" s="336"/>
    </row>
    <row r="2" spans="1:10" ht="31.4" customHeight="1" x14ac:dyDescent="0.35">
      <c r="A2" s="463" t="str">
        <f>Sisend!B4</f>
        <v>Nimetu</v>
      </c>
      <c r="B2" s="463"/>
      <c r="C2" s="463"/>
      <c r="D2" s="463"/>
      <c r="E2" s="463"/>
    </row>
    <row r="3" spans="1:10" ht="15.65" customHeight="1" x14ac:dyDescent="0.45">
      <c r="A3" s="95" t="s">
        <v>92</v>
      </c>
      <c r="D3" s="97" t="s">
        <v>93</v>
      </c>
      <c r="E3" s="5" t="s">
        <v>94</v>
      </c>
      <c r="G3" s="427"/>
      <c r="H3" s="428"/>
    </row>
    <row r="4" spans="1:10" s="26" customFormat="1" ht="16.399999999999999" customHeight="1" x14ac:dyDescent="0.35">
      <c r="A4" s="218" t="s">
        <v>95</v>
      </c>
      <c r="B4" s="340">
        <f>IF(B5="pole arvutatav",B6+1,AVERAGE(B5,B6))</f>
        <v>2.7606593816727893</v>
      </c>
      <c r="C4" s="330" t="str">
        <f>IF(B4&gt;E4,D4,IF(B4&gt;E5,D5,IF(B4&gt;E6,D6,IF(B4&gt;E7,D7,D8))))</f>
        <v>Mõõdukas soodne mõju</v>
      </c>
      <c r="D4" s="331" t="s">
        <v>96</v>
      </c>
      <c r="E4" s="332">
        <v>5</v>
      </c>
      <c r="F4" s="26" t="s">
        <v>97</v>
      </c>
      <c r="G4" s="429"/>
      <c r="H4" s="430"/>
    </row>
    <row r="5" spans="1:10" ht="16.399999999999999" customHeight="1" x14ac:dyDescent="0.35">
      <c r="A5" s="347" t="s">
        <v>98</v>
      </c>
      <c r="B5" s="355">
        <f>B28</f>
        <v>0.5213187633455787</v>
      </c>
      <c r="C5" s="1"/>
      <c r="D5" s="149" t="s">
        <v>99</v>
      </c>
      <c r="E5" s="111">
        <v>3</v>
      </c>
      <c r="F5" t="s">
        <v>97</v>
      </c>
      <c r="G5" s="431"/>
      <c r="H5" s="432"/>
    </row>
    <row r="6" spans="1:10" ht="16.399999999999999" customHeight="1" x14ac:dyDescent="0.35">
      <c r="A6" s="341" t="s">
        <v>100</v>
      </c>
      <c r="B6" s="435">
        <f>B35</f>
        <v>5</v>
      </c>
      <c r="C6" s="94" t="str">
        <f>C35</f>
        <v>Suur soodne mõju</v>
      </c>
      <c r="D6" s="149" t="s">
        <v>101</v>
      </c>
      <c r="E6" s="111">
        <v>1</v>
      </c>
      <c r="F6" t="s">
        <v>97</v>
      </c>
      <c r="G6" s="431"/>
      <c r="H6" s="432"/>
    </row>
    <row r="7" spans="1:10" ht="16.399999999999999" customHeight="1" x14ac:dyDescent="0.35">
      <c r="A7" s="436" t="s">
        <v>496</v>
      </c>
      <c r="B7" s="437">
        <f>Parameetrid!M38</f>
        <v>0</v>
      </c>
      <c r="D7" s="209" t="s">
        <v>102</v>
      </c>
      <c r="E7" s="111">
        <v>0</v>
      </c>
      <c r="F7" t="s">
        <v>97</v>
      </c>
      <c r="G7" s="433"/>
      <c r="H7" s="432"/>
    </row>
    <row r="8" spans="1:10" x14ac:dyDescent="0.35">
      <c r="A8" s="473" t="str">
        <f>IF((Sisend!G28-Sisend!D31)&lt;0,"NB! Praeguse eelarve järgi sündmuse kulud ületavad tulusid. Täienda eelarvet!","")</f>
        <v>NB! Praeguse eelarve järgi sündmuse kulud ületavad tulusid. Täienda eelarvet!</v>
      </c>
      <c r="B8" s="473"/>
      <c r="C8" s="473"/>
      <c r="D8" s="149" t="s">
        <v>104</v>
      </c>
      <c r="E8" s="361">
        <f>E7</f>
        <v>0</v>
      </c>
      <c r="F8" t="s">
        <v>103</v>
      </c>
    </row>
    <row r="9" spans="1:10" ht="18.5" x14ac:dyDescent="0.45">
      <c r="A9" s="40" t="s">
        <v>105</v>
      </c>
      <c r="B9" s="453" t="s">
        <v>106</v>
      </c>
      <c r="C9" s="453"/>
      <c r="D9" s="453"/>
      <c r="E9" s="453"/>
      <c r="F9" s="453"/>
      <c r="G9" s="453"/>
      <c r="H9" s="453"/>
      <c r="I9" s="453"/>
      <c r="J9" s="453"/>
    </row>
    <row r="10" spans="1:10" ht="29.15" customHeight="1" x14ac:dyDescent="0.35">
      <c r="A10" s="84" t="s">
        <v>107</v>
      </c>
      <c r="B10" s="65" t="s">
        <v>108</v>
      </c>
      <c r="C10" s="65" t="s">
        <v>109</v>
      </c>
      <c r="D10" s="65" t="s">
        <v>110</v>
      </c>
      <c r="E10" s="142" t="s">
        <v>111</v>
      </c>
      <c r="F10" s="91"/>
      <c r="G10" s="117"/>
      <c r="H10" s="91"/>
      <c r="I10" s="91"/>
      <c r="J10" s="91"/>
    </row>
    <row r="11" spans="1:10" ht="14.9" customHeight="1" x14ac:dyDescent="0.35">
      <c r="A11" s="150" t="s">
        <v>112</v>
      </c>
      <c r="B11" s="295">
        <f>maj_arvutused!U26</f>
        <v>319035.71064806631</v>
      </c>
      <c r="C11" s="295">
        <f>B44</f>
        <v>118294.68690446755</v>
      </c>
      <c r="D11" s="295">
        <f>B11+C11</f>
        <v>437330.39755253389</v>
      </c>
      <c r="E11" s="142" t="s">
        <v>113</v>
      </c>
      <c r="F11" s="91"/>
      <c r="G11" s="117"/>
      <c r="H11" s="91"/>
      <c r="I11" s="91"/>
      <c r="J11" s="91"/>
    </row>
    <row r="12" spans="1:10" x14ac:dyDescent="0.35">
      <c r="A12" s="151" t="s">
        <v>114</v>
      </c>
      <c r="B12" s="296">
        <f>maj_arvutused!S26</f>
        <v>127105.86081596269</v>
      </c>
      <c r="C12" s="296"/>
      <c r="D12" s="296"/>
      <c r="E12" s="200" t="s">
        <v>115</v>
      </c>
      <c r="F12" s="91"/>
      <c r="G12" s="117"/>
      <c r="H12" s="91"/>
      <c r="I12" s="91"/>
      <c r="J12" s="91"/>
    </row>
    <row r="13" spans="1:10" x14ac:dyDescent="0.35">
      <c r="A13" s="202" t="s">
        <v>116</v>
      </c>
      <c r="B13" s="305">
        <f>maj_arvutused!P26</f>
        <v>7352.0322572614105</v>
      </c>
      <c r="C13" s="299"/>
      <c r="D13" s="299"/>
      <c r="E13" s="201" t="s">
        <v>117</v>
      </c>
      <c r="F13" s="91"/>
      <c r="G13" s="117"/>
      <c r="H13" s="91"/>
      <c r="I13" s="91"/>
      <c r="J13" s="91"/>
    </row>
    <row r="14" spans="1:10" x14ac:dyDescent="0.35">
      <c r="A14" s="202" t="s">
        <v>118</v>
      </c>
      <c r="B14" s="305">
        <f>maj_arvutused!R26</f>
        <v>119753.82855870127</v>
      </c>
      <c r="C14" s="299"/>
      <c r="D14" s="299"/>
      <c r="E14" s="201" t="s">
        <v>119</v>
      </c>
      <c r="F14" s="91"/>
      <c r="G14" s="117"/>
      <c r="H14" s="91"/>
      <c r="I14" s="91"/>
      <c r="J14" s="91"/>
    </row>
    <row r="15" spans="1:10" x14ac:dyDescent="0.35">
      <c r="A15" s="202" t="s">
        <v>120</v>
      </c>
      <c r="B15" s="299">
        <f>maj_arvutused!V26</f>
        <v>29775.189998972521</v>
      </c>
      <c r="C15" s="299">
        <f>B45</f>
        <v>21620.515715416837</v>
      </c>
      <c r="D15" s="299">
        <f>B15+C15</f>
        <v>51395.705714389362</v>
      </c>
      <c r="E15" s="201" t="s">
        <v>121</v>
      </c>
      <c r="F15" s="91"/>
      <c r="G15" s="117"/>
      <c r="H15" s="91"/>
      <c r="I15" s="91"/>
      <c r="J15" s="91"/>
    </row>
    <row r="16" spans="1:10" x14ac:dyDescent="0.35">
      <c r="A16" s="151" t="s">
        <v>122</v>
      </c>
      <c r="B16" s="296">
        <f>maj_arvutused!T26</f>
        <v>191929.84983210365</v>
      </c>
      <c r="C16" s="296"/>
      <c r="D16" s="296"/>
      <c r="E16" s="200" t="s">
        <v>123</v>
      </c>
      <c r="F16" s="91"/>
      <c r="G16" s="117"/>
      <c r="H16" s="91"/>
      <c r="I16" s="91"/>
      <c r="J16" s="91"/>
    </row>
    <row r="17" spans="1:14" x14ac:dyDescent="0.35">
      <c r="A17" s="293" t="s">
        <v>124</v>
      </c>
      <c r="B17" s="297">
        <f>maj_arvutused!Q10*-1</f>
        <v>-207262.00091286306</v>
      </c>
      <c r="C17" s="298"/>
      <c r="D17" s="298">
        <f>B17</f>
        <v>-207262.00091286306</v>
      </c>
      <c r="E17" s="322" t="s">
        <v>125</v>
      </c>
      <c r="F17" s="91"/>
      <c r="G17" s="117"/>
      <c r="H17" s="91"/>
      <c r="I17" s="91"/>
      <c r="J17" s="91"/>
    </row>
    <row r="18" spans="1:14" x14ac:dyDescent="0.35">
      <c r="A18" s="150" t="s">
        <v>126</v>
      </c>
      <c r="B18" s="295">
        <f>maj_arvutused!AB26</f>
        <v>832186.96792058321</v>
      </c>
      <c r="C18" s="295">
        <f>B46</f>
        <v>922332.28121383698</v>
      </c>
      <c r="D18" s="295">
        <f>SUM(B18:C18)</f>
        <v>1754519.2491344202</v>
      </c>
      <c r="E18" s="117" t="s">
        <v>127</v>
      </c>
      <c r="F18" s="91"/>
      <c r="G18" s="117"/>
      <c r="H18" s="91"/>
      <c r="I18" s="91"/>
      <c r="J18" s="91"/>
    </row>
    <row r="19" spans="1:14" ht="14.15" customHeight="1" x14ac:dyDescent="0.35">
      <c r="A19" s="151" t="s">
        <v>128</v>
      </c>
      <c r="B19" s="296">
        <f>maj_arvutused!Z26</f>
        <v>390698.10700496862</v>
      </c>
      <c r="C19" s="296"/>
      <c r="D19" s="296"/>
      <c r="E19" s="200" t="s">
        <v>129</v>
      </c>
      <c r="F19" s="91"/>
      <c r="G19" s="117"/>
      <c r="H19" s="91"/>
      <c r="I19" s="91"/>
      <c r="J19" s="91"/>
    </row>
    <row r="20" spans="1:14" x14ac:dyDescent="0.35">
      <c r="A20" s="281" t="s">
        <v>130</v>
      </c>
      <c r="B20" s="299">
        <f>maj_arvutused!W26</f>
        <v>124570.78666429884</v>
      </c>
      <c r="C20" s="296"/>
      <c r="D20" s="296"/>
      <c r="E20" s="201" t="s">
        <v>131</v>
      </c>
      <c r="F20" s="91"/>
      <c r="G20" s="117"/>
      <c r="H20" s="91"/>
      <c r="I20" s="91"/>
      <c r="J20" s="91"/>
    </row>
    <row r="21" spans="1:14" x14ac:dyDescent="0.35">
      <c r="A21" s="282" t="s">
        <v>132</v>
      </c>
      <c r="B21" s="300">
        <f>maj_arvutused!Y26</f>
        <v>266127.32034066977</v>
      </c>
      <c r="C21" s="301"/>
      <c r="D21" s="301"/>
      <c r="E21" s="474" t="s">
        <v>133</v>
      </c>
      <c r="F21" s="474"/>
      <c r="G21" s="474"/>
      <c r="H21" s="474"/>
      <c r="I21" s="474"/>
      <c r="J21" s="474"/>
    </row>
    <row r="22" spans="1:14" x14ac:dyDescent="0.35">
      <c r="A22" s="281" t="s">
        <v>134</v>
      </c>
      <c r="B22" s="302">
        <f>maj_arvutused!AC26</f>
        <v>11086.800013122596</v>
      </c>
      <c r="C22" s="296"/>
      <c r="D22" s="296"/>
      <c r="E22" s="201" t="s">
        <v>135</v>
      </c>
      <c r="F22" s="91"/>
      <c r="G22" s="117"/>
      <c r="H22" s="91"/>
      <c r="I22" s="91"/>
      <c r="J22" s="91"/>
    </row>
    <row r="23" spans="1:14" x14ac:dyDescent="0.35">
      <c r="A23" s="280" t="s">
        <v>136</v>
      </c>
      <c r="B23" s="303">
        <f>maj_arvutused!AA26</f>
        <v>441488.86091561452</v>
      </c>
      <c r="C23" s="304"/>
      <c r="D23" s="319"/>
      <c r="E23" s="475" t="s">
        <v>137</v>
      </c>
      <c r="F23" s="475"/>
      <c r="G23" s="475"/>
      <c r="H23" s="475"/>
      <c r="I23" s="475"/>
      <c r="J23" s="475"/>
      <c r="K23" s="90"/>
      <c r="L23" s="90"/>
      <c r="M23" s="90"/>
      <c r="N23" s="90"/>
    </row>
    <row r="24" spans="1:14" x14ac:dyDescent="0.35">
      <c r="A24" s="293" t="s">
        <v>138</v>
      </c>
      <c r="B24" s="297">
        <f>maj_arvutused!T10*-1</f>
        <v>-233233.38421148062</v>
      </c>
      <c r="C24" s="318"/>
      <c r="D24" s="298">
        <f>B24</f>
        <v>-233233.38421148062</v>
      </c>
      <c r="E24" s="322" t="s">
        <v>139</v>
      </c>
      <c r="F24" s="200"/>
      <c r="G24" s="200"/>
      <c r="H24" s="200"/>
      <c r="I24" s="200"/>
      <c r="J24" s="200"/>
      <c r="K24" s="90"/>
      <c r="L24" s="90"/>
      <c r="M24" s="90"/>
      <c r="N24" s="90"/>
    </row>
    <row r="25" spans="1:14" s="26" customFormat="1" ht="29" x14ac:dyDescent="0.35">
      <c r="A25" s="84" t="s">
        <v>140</v>
      </c>
      <c r="B25" s="315" t="s">
        <v>141</v>
      </c>
      <c r="C25" s="315" t="s">
        <v>142</v>
      </c>
      <c r="D25" s="320" t="s">
        <v>143</v>
      </c>
      <c r="E25" s="65" t="s">
        <v>144</v>
      </c>
      <c r="F25" s="465" t="s">
        <v>145</v>
      </c>
      <c r="G25" s="466"/>
      <c r="H25" s="466"/>
      <c r="I25" s="466"/>
      <c r="J25" s="466"/>
    </row>
    <row r="26" spans="1:14" x14ac:dyDescent="0.35">
      <c r="A26" s="152" t="s">
        <v>146</v>
      </c>
      <c r="B26" s="85">
        <f>IF(Sisend!I28&gt;0,B27/Sisend!I28,"pole arvutatav")</f>
        <v>0.25327134445573107</v>
      </c>
      <c r="C26" s="85">
        <f>IF(Sisend!J28&gt;0,C27/Sisend!J28,"pole arvutatav")</f>
        <v>7.6187570552193602</v>
      </c>
      <c r="D26" s="85" t="str">
        <f>IF(Sisend!I27&gt;0,D27/Sisend!I27,"ei toetata")</f>
        <v>ei toetata</v>
      </c>
      <c r="E26" s="321" t="str">
        <f>IF(Sisend!J27&gt;0,E27/Sisend!J27,"ei toetata")</f>
        <v>ei toetata</v>
      </c>
      <c r="F26" s="467"/>
      <c r="G26" s="468"/>
      <c r="H26" s="468"/>
      <c r="I26" s="468"/>
      <c r="J26" s="468"/>
    </row>
    <row r="27" spans="1:14" x14ac:dyDescent="0.35">
      <c r="A27" s="152" t="s">
        <v>147</v>
      </c>
      <c r="B27" s="316">
        <f>B11+B17</f>
        <v>111773.70973520324</v>
      </c>
      <c r="C27" s="316">
        <f>B18+B24</f>
        <v>598953.58370910259</v>
      </c>
      <c r="D27" s="316">
        <f>B27</f>
        <v>111773.70973520324</v>
      </c>
      <c r="E27" s="316">
        <f>C27</f>
        <v>598953.58370910259</v>
      </c>
      <c r="F27" s="467"/>
      <c r="G27" s="468"/>
      <c r="H27" s="468"/>
      <c r="I27" s="468"/>
      <c r="J27" s="468"/>
    </row>
    <row r="28" spans="1:14" x14ac:dyDescent="0.35">
      <c r="A28" s="55" t="s">
        <v>148</v>
      </c>
      <c r="B28" s="92">
        <f>IF(Sisend!I28&gt;0,(B27+C11)/Sisend!I28,"pole arvutatav")</f>
        <v>0.5213187633455787</v>
      </c>
      <c r="C28" s="44"/>
      <c r="D28" s="346" t="str">
        <f>IF(Sisend!I27&gt;0,(D27+C11)/Sisend!I27,"ei toetata")</f>
        <v>ei toetata</v>
      </c>
      <c r="E28" s="317"/>
      <c r="F28" s="469"/>
      <c r="G28" s="470"/>
      <c r="H28" s="470"/>
      <c r="I28" s="470"/>
      <c r="J28" s="470"/>
    </row>
    <row r="29" spans="1:14" x14ac:dyDescent="0.35">
      <c r="A29" s="55" t="s">
        <v>149</v>
      </c>
      <c r="B29" s="338">
        <f>B28</f>
        <v>0.5213187633455787</v>
      </c>
      <c r="C29" s="345">
        <f>C26</f>
        <v>7.6187570552193602</v>
      </c>
      <c r="D29" s="345" t="str">
        <f>D26</f>
        <v>ei toetata</v>
      </c>
      <c r="E29" s="345" t="str">
        <f>E26</f>
        <v>ei toetata</v>
      </c>
      <c r="F29" s="464"/>
      <c r="G29" s="464"/>
      <c r="H29" s="464"/>
      <c r="I29" s="464"/>
      <c r="J29" s="464"/>
    </row>
    <row r="30" spans="1:14" x14ac:dyDescent="0.35">
      <c r="A30" s="55" t="s">
        <v>150</v>
      </c>
      <c r="B30" s="344">
        <f>B15-Sisend!K29</f>
        <v>29775.189998972521</v>
      </c>
      <c r="C30" s="337"/>
      <c r="D30" s="348"/>
      <c r="E30" s="317"/>
      <c r="F30" s="464" t="s">
        <v>151</v>
      </c>
      <c r="G30" s="464"/>
      <c r="H30" s="464"/>
      <c r="I30" s="464"/>
      <c r="J30" s="464"/>
    </row>
    <row r="31" spans="1:14" x14ac:dyDescent="0.35">
      <c r="A31" s="471" t="s">
        <v>152</v>
      </c>
      <c r="B31" s="472"/>
      <c r="C31" s="472"/>
      <c r="D31" s="452" t="s">
        <v>153</v>
      </c>
      <c r="E31" s="452"/>
      <c r="F31" s="452"/>
      <c r="G31" s="452"/>
      <c r="H31" s="452"/>
      <c r="I31" s="452"/>
      <c r="J31" s="452"/>
    </row>
    <row r="33" spans="1:7" ht="18.5" x14ac:dyDescent="0.45">
      <c r="A33" s="40" t="s">
        <v>154</v>
      </c>
    </row>
    <row r="34" spans="1:7" x14ac:dyDescent="0.35">
      <c r="A34" s="91" t="s">
        <v>155</v>
      </c>
    </row>
    <row r="35" spans="1:7" x14ac:dyDescent="0.35">
      <c r="A35" s="153" t="s">
        <v>156</v>
      </c>
      <c r="B35" s="89">
        <f>sots_arvutused!B11</f>
        <v>5</v>
      </c>
      <c r="C35" s="96" t="str">
        <f>VLOOKUP(B35,Parameetrid!A45:B51,2,FALSE)</f>
        <v>Suur soodne mõju</v>
      </c>
      <c r="D35" s="263"/>
      <c r="E35" s="263"/>
      <c r="F35" s="263"/>
      <c r="G35" s="263"/>
    </row>
    <row r="36" spans="1:7" x14ac:dyDescent="0.35">
      <c r="A36" s="159"/>
      <c r="B36" s="160"/>
      <c r="C36" s="159"/>
      <c r="D36" s="263"/>
      <c r="E36" s="263"/>
      <c r="F36" s="263"/>
      <c r="G36" s="263"/>
    </row>
    <row r="37" spans="1:7" ht="18.5" x14ac:dyDescent="0.45">
      <c r="A37" s="40" t="s">
        <v>157</v>
      </c>
      <c r="B37" s="53"/>
      <c r="D37" s="263"/>
      <c r="E37" s="263"/>
      <c r="F37" s="263"/>
      <c r="G37" s="263"/>
    </row>
    <row r="38" spans="1:7" x14ac:dyDescent="0.35">
      <c r="A38" s="91" t="s">
        <v>158</v>
      </c>
      <c r="B38" s="53"/>
    </row>
    <row r="39" spans="1:7" x14ac:dyDescent="0.35">
      <c r="A39" s="154" t="s">
        <v>159</v>
      </c>
    </row>
    <row r="40" spans="1:7" x14ac:dyDescent="0.35">
      <c r="A40" s="51" t="s">
        <v>160</v>
      </c>
      <c r="B40" s="148">
        <f>kuv_arvutused!B19</f>
        <v>1</v>
      </c>
      <c r="C40" s="96" t="str">
        <f>VLOOKUP(Väljund!B40,Parameetrid!A53:B58,2,FALSE)</f>
        <v>Väga nõrk soodne mõju</v>
      </c>
      <c r="D40" s="87"/>
    </row>
    <row r="41" spans="1:7" x14ac:dyDescent="0.35">
      <c r="A41" s="51" t="s">
        <v>161</v>
      </c>
      <c r="B41" s="148">
        <f>kuv_arvutused!B20</f>
        <v>4</v>
      </c>
      <c r="C41" s="96" t="str">
        <f>VLOOKUP(Väljund!B41,Parameetrid!A53:B58,2,FALSE)</f>
        <v>Oluline soodne mõju</v>
      </c>
    </row>
    <row r="42" spans="1:7" x14ac:dyDescent="0.35">
      <c r="A42" s="51" t="s">
        <v>162</v>
      </c>
      <c r="B42" s="148">
        <f>kuv_arvutused!B21</f>
        <v>1</v>
      </c>
      <c r="C42" s="96" t="str">
        <f>VLOOKUP(Väljund!B42,Parameetrid!A53:B58,2,FALSE)</f>
        <v>Väga nõrk soodne mõju</v>
      </c>
    </row>
    <row r="43" spans="1:7" x14ac:dyDescent="0.35">
      <c r="A43" s="51" t="s">
        <v>163</v>
      </c>
      <c r="B43" s="148">
        <f>kuv_arvutused!B22</f>
        <v>5</v>
      </c>
      <c r="C43" s="96" t="str">
        <f>VLOOKUP(Väljund!B43,Parameetrid!A53:B58,2,FALSE)</f>
        <v>Suur soodne mõju</v>
      </c>
    </row>
    <row r="44" spans="1:7" s="26" customFormat="1" ht="29.5" customHeight="1" x14ac:dyDescent="0.35">
      <c r="A44" s="333" t="s">
        <v>164</v>
      </c>
      <c r="B44" s="335">
        <f>kuv_arvutused!I33</f>
        <v>118294.68690446755</v>
      </c>
      <c r="C44" s="334" t="s">
        <v>165</v>
      </c>
      <c r="D44" s="93"/>
      <c r="E44" s="93"/>
      <c r="F44" s="93"/>
      <c r="G44" s="93"/>
    </row>
    <row r="45" spans="1:7" x14ac:dyDescent="0.35">
      <c r="A45" s="258" t="s">
        <v>166</v>
      </c>
      <c r="B45" s="259">
        <f>kuv_arvutused!J33</f>
        <v>21620.515715416837</v>
      </c>
      <c r="C45" s="91" t="s">
        <v>167</v>
      </c>
      <c r="D45" s="91"/>
      <c r="E45" s="91"/>
      <c r="F45" s="91"/>
      <c r="G45" s="91"/>
    </row>
    <row r="46" spans="1:7" x14ac:dyDescent="0.35">
      <c r="A46" s="153" t="s">
        <v>168</v>
      </c>
      <c r="B46" s="147">
        <f>kuv_arvutused!I32</f>
        <v>922332.28121383698</v>
      </c>
      <c r="C46" s="123" t="s">
        <v>169</v>
      </c>
      <c r="D46" s="91"/>
      <c r="E46" s="91"/>
      <c r="F46" s="91"/>
      <c r="G46" s="91"/>
    </row>
  </sheetData>
  <sheetProtection sheet="1" objects="1" scenarios="1"/>
  <mergeCells count="11">
    <mergeCell ref="A2:E2"/>
    <mergeCell ref="A1:E1"/>
    <mergeCell ref="F25:J28"/>
    <mergeCell ref="B9:J9"/>
    <mergeCell ref="A31:C31"/>
    <mergeCell ref="D31:J31"/>
    <mergeCell ref="A8:C8"/>
    <mergeCell ref="E21:J21"/>
    <mergeCell ref="E23:J23"/>
    <mergeCell ref="F30:J30"/>
    <mergeCell ref="F29:J29"/>
  </mergeCells>
  <conditionalFormatting sqref="A8">
    <cfRule type="containsText" dxfId="10" priority="1" operator="containsText" text="NB! Praeguse eelarve järgi sündmuse kulud ületavad tulusid. Täienda eelarvet!">
      <formula>NOT(ISERROR(SEARCH("NB! Praeguse eelarve järgi sündmuse kulud ületavad tulusid. Täienda eelarvet!",A8)))</formula>
    </cfRule>
  </conditionalFormatting>
  <conditionalFormatting sqref="B4">
    <cfRule type="cellIs" dxfId="9" priority="28" operator="lessThan">
      <formula>$E$6</formula>
    </cfRule>
  </conditionalFormatting>
  <conditionalFormatting sqref="B5">
    <cfRule type="cellIs" dxfId="8" priority="5" operator="lessThan">
      <formula>$H$5</formula>
    </cfRule>
  </conditionalFormatting>
  <conditionalFormatting sqref="B35:B36">
    <cfRule type="cellIs" dxfId="6" priority="8" operator="between">
      <formula>1</formula>
      <formula>5</formula>
    </cfRule>
    <cfRule type="cellIs" dxfId="5" priority="9" operator="equal">
      <formula>-1</formula>
    </cfRule>
  </conditionalFormatting>
  <conditionalFormatting sqref="B40:B43">
    <cfRule type="cellIs" dxfId="4" priority="2" operator="between">
      <formula>3</formula>
      <formula>10</formula>
    </cfRule>
    <cfRule type="cellIs" dxfId="3" priority="3" operator="between">
      <formula>-1</formula>
      <formula>0</formula>
    </cfRule>
  </conditionalFormatting>
  <conditionalFormatting sqref="B26:E27 D28 B28:B30 C29:E29 D30">
    <cfRule type="cellIs" dxfId="2" priority="7" operator="lessThan">
      <formula>$H$5</formula>
    </cfRule>
  </conditionalFormatting>
  <pageMargins left="0.7" right="0.7" top="0.75" bottom="0.75" header="0.3" footer="0.3"/>
  <pageSetup orientation="portrait" r:id="rId1"/>
  <drawing r:id="rId2"/>
  <legacyDrawing r:id="rId3"/>
  <extLst>
    <ext xmlns:x14="http://schemas.microsoft.com/office/spreadsheetml/2009/9/main" uri="{78C0D931-6437-407d-A8EE-F0AAD7539E65}">
      <x14:conditionalFormattings>
        <x14:conditionalFormatting xmlns:xm="http://schemas.microsoft.com/office/excel/2006/main">
          <x14:cfRule type="cellIs" priority="27" operator="lessThan" id="{08EAC888-5469-4624-8C05-B964944005B5}">
            <xm:f>Parameetrid!$A$46</xm:f>
            <x14:dxf>
              <font>
                <color rgb="FF9C0006"/>
              </font>
              <fill>
                <patternFill>
                  <bgColor rgb="FFFFC7CE"/>
                </patternFill>
              </fill>
            </x14:dxf>
          </x14:cfRule>
          <xm:sqref>B6:B7</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DC37EF-C974-4A63-9F3E-3F6A9B7E273D}">
  <sheetPr codeName="Leht4">
    <tabColor theme="7" tint="-0.499984740745262"/>
  </sheetPr>
  <dimension ref="A1:X79"/>
  <sheetViews>
    <sheetView workbookViewId="0">
      <selection activeCell="C18" sqref="C18"/>
    </sheetView>
  </sheetViews>
  <sheetFormatPr defaultColWidth="8.81640625" defaultRowHeight="14.5" x14ac:dyDescent="0.35"/>
  <cols>
    <col min="1" max="1" width="50.1796875" bestFit="1" customWidth="1"/>
    <col min="2" max="2" width="22.453125" customWidth="1"/>
    <col min="3" max="3" width="22.81640625" customWidth="1"/>
    <col min="7" max="7" width="11" customWidth="1"/>
    <col min="9" max="12" width="15.81640625" customWidth="1"/>
    <col min="13" max="13" width="12.81640625" customWidth="1"/>
    <col min="14" max="14" width="25.1796875" bestFit="1" customWidth="1"/>
    <col min="15" max="15" width="12.1796875" customWidth="1"/>
    <col min="16" max="16" width="27" bestFit="1" customWidth="1"/>
    <col min="17" max="17" width="21.81640625" bestFit="1" customWidth="1"/>
    <col min="18" max="18" width="13.54296875" bestFit="1" customWidth="1"/>
    <col min="19" max="19" width="27" bestFit="1" customWidth="1"/>
    <col min="20" max="20" width="9.1796875" bestFit="1" customWidth="1"/>
    <col min="22" max="22" width="24.1796875" bestFit="1" customWidth="1"/>
  </cols>
  <sheetData>
    <row r="1" spans="1:18" ht="23.15" customHeight="1" x14ac:dyDescent="0.35">
      <c r="A1" s="491" t="s">
        <v>170</v>
      </c>
      <c r="B1" s="491"/>
      <c r="C1" s="491"/>
      <c r="D1" s="491"/>
      <c r="E1" s="491"/>
      <c r="F1" s="491"/>
      <c r="G1" s="491"/>
      <c r="H1" s="491"/>
      <c r="I1" s="492"/>
      <c r="J1" s="491"/>
      <c r="K1" s="491"/>
      <c r="L1" s="491"/>
      <c r="M1" s="491"/>
      <c r="N1" s="491"/>
    </row>
    <row r="2" spans="1:18" ht="23.15" customHeight="1" x14ac:dyDescent="0.35">
      <c r="A2" s="494" t="str">
        <f>Sisend!B4</f>
        <v>Nimetu</v>
      </c>
      <c r="B2" s="494"/>
      <c r="C2" s="494"/>
      <c r="D2" s="494"/>
      <c r="E2" s="494"/>
      <c r="F2" s="494"/>
      <c r="G2" s="494"/>
      <c r="H2" s="494"/>
      <c r="I2" s="494"/>
      <c r="J2" s="494"/>
      <c r="K2" s="122"/>
      <c r="L2" s="122"/>
      <c r="M2" s="98"/>
      <c r="N2" s="98"/>
    </row>
    <row r="3" spans="1:18" ht="18.5" x14ac:dyDescent="0.45">
      <c r="A3" s="40" t="s">
        <v>171</v>
      </c>
    </row>
    <row r="4" spans="1:18" x14ac:dyDescent="0.35">
      <c r="A4" s="86" t="s">
        <v>172</v>
      </c>
      <c r="B4" s="65" t="s">
        <v>173</v>
      </c>
      <c r="C4" s="65" t="s">
        <v>174</v>
      </c>
      <c r="E4" s="493" t="s">
        <v>175</v>
      </c>
      <c r="F4" s="493"/>
      <c r="G4" s="493"/>
      <c r="H4" s="493"/>
      <c r="I4" s="30" t="s">
        <v>176</v>
      </c>
      <c r="J4" s="65" t="s">
        <v>177</v>
      </c>
    </row>
    <row r="5" spans="1:18" x14ac:dyDescent="0.35">
      <c r="A5" s="151" t="s">
        <v>178</v>
      </c>
      <c r="B5" s="102">
        <v>0.51</v>
      </c>
      <c r="C5" s="102">
        <v>1.51</v>
      </c>
      <c r="E5" s="479" t="s">
        <v>179</v>
      </c>
      <c r="F5" s="480"/>
      <c r="G5" s="480"/>
      <c r="H5" s="481"/>
      <c r="I5" s="105">
        <f>34.2*0.5</f>
        <v>17.100000000000001</v>
      </c>
      <c r="J5" s="137">
        <f>28*0.5</f>
        <v>14</v>
      </c>
    </row>
    <row r="6" spans="1:18" x14ac:dyDescent="0.35">
      <c r="A6" s="54" t="s">
        <v>180</v>
      </c>
      <c r="B6" s="44"/>
      <c r="C6" s="44"/>
      <c r="E6" s="479" t="s">
        <v>181</v>
      </c>
      <c r="F6" s="480"/>
      <c r="G6" s="480"/>
      <c r="H6" s="481"/>
      <c r="I6" s="105">
        <f>I5</f>
        <v>17.100000000000001</v>
      </c>
      <c r="J6" s="137">
        <f>J5</f>
        <v>14</v>
      </c>
    </row>
    <row r="7" spans="1:18" x14ac:dyDescent="0.35">
      <c r="A7" s="151" t="s">
        <v>182</v>
      </c>
      <c r="B7" s="102">
        <v>0.51</v>
      </c>
      <c r="C7" s="102">
        <v>1.51</v>
      </c>
      <c r="E7" s="479" t="s">
        <v>183</v>
      </c>
      <c r="F7" s="480"/>
      <c r="G7" s="480"/>
      <c r="H7" s="481"/>
      <c r="I7" s="105">
        <f>21.4*0.5</f>
        <v>10.7</v>
      </c>
      <c r="J7" s="137">
        <f>25.5*0.5</f>
        <v>12.75</v>
      </c>
    </row>
    <row r="8" spans="1:18" x14ac:dyDescent="0.35">
      <c r="A8" s="151" t="s">
        <v>184</v>
      </c>
      <c r="B8" s="102">
        <v>0.39600000000000002</v>
      </c>
      <c r="C8" s="102">
        <v>1.43</v>
      </c>
      <c r="E8" s="479" t="s">
        <v>185</v>
      </c>
      <c r="F8" s="480"/>
      <c r="G8" s="480"/>
      <c r="H8" s="481"/>
      <c r="I8" s="105">
        <v>53.2</v>
      </c>
      <c r="J8" s="137">
        <v>25.6</v>
      </c>
    </row>
    <row r="9" spans="1:18" x14ac:dyDescent="0.35">
      <c r="A9" s="151" t="s">
        <v>186</v>
      </c>
      <c r="B9" s="102">
        <v>0.2</v>
      </c>
      <c r="C9" s="102">
        <v>1.1299999999999999</v>
      </c>
      <c r="E9" s="479" t="s">
        <v>187</v>
      </c>
      <c r="F9" s="480"/>
      <c r="G9" s="480"/>
      <c r="H9" s="481"/>
      <c r="I9" s="105">
        <f>19.8*0.5</f>
        <v>9.9</v>
      </c>
      <c r="J9" s="105">
        <f>19.5*0.5</f>
        <v>9.75</v>
      </c>
    </row>
    <row r="10" spans="1:18" x14ac:dyDescent="0.35">
      <c r="A10" s="74" t="s">
        <v>188</v>
      </c>
      <c r="E10" s="479" t="s">
        <v>189</v>
      </c>
      <c r="F10" s="480"/>
      <c r="G10" s="480"/>
      <c r="H10" s="481"/>
      <c r="I10" s="105">
        <f>I9</f>
        <v>9.9</v>
      </c>
      <c r="J10" s="105">
        <f>J9</f>
        <v>9.75</v>
      </c>
    </row>
    <row r="11" spans="1:18" ht="29" x14ac:dyDescent="0.35">
      <c r="A11" s="54" t="s">
        <v>190</v>
      </c>
      <c r="B11" s="103">
        <v>0.22</v>
      </c>
      <c r="E11" s="482" t="s">
        <v>191</v>
      </c>
      <c r="F11" s="480"/>
      <c r="G11" s="480"/>
      <c r="H11" s="481"/>
      <c r="I11" s="158">
        <f>I7</f>
        <v>10.7</v>
      </c>
      <c r="J11" s="210">
        <f>J7</f>
        <v>12.75</v>
      </c>
      <c r="N11" s="421" t="s">
        <v>192</v>
      </c>
      <c r="O11" s="422" t="s">
        <v>193</v>
      </c>
      <c r="P11" s="423" t="s">
        <v>194</v>
      </c>
      <c r="Q11" s="423" t="s">
        <v>195</v>
      </c>
      <c r="R11" s="65" t="s">
        <v>196</v>
      </c>
    </row>
    <row r="12" spans="1:18" x14ac:dyDescent="0.35">
      <c r="A12" s="54" t="s">
        <v>197</v>
      </c>
      <c r="B12" s="103">
        <v>0.13</v>
      </c>
      <c r="E12" s="484" t="s">
        <v>198</v>
      </c>
      <c r="F12" s="485"/>
      <c r="G12" s="485"/>
      <c r="H12" s="486"/>
      <c r="I12" s="138">
        <f>SUM(I5:I11)</f>
        <v>128.60000000000002</v>
      </c>
      <c r="J12" s="138">
        <f>SUM(J5:J11)</f>
        <v>98.6</v>
      </c>
      <c r="N12" s="155" t="s">
        <v>199</v>
      </c>
      <c r="O12" s="139">
        <v>1</v>
      </c>
      <c r="P12" s="143">
        <v>11.93</v>
      </c>
      <c r="Q12" s="143">
        <v>0</v>
      </c>
      <c r="R12" s="143">
        <v>6.32</v>
      </c>
    </row>
    <row r="13" spans="1:18" x14ac:dyDescent="0.35">
      <c r="A13" s="54" t="s">
        <v>200</v>
      </c>
      <c r="B13" s="103">
        <v>0</v>
      </c>
      <c r="E13" s="487" t="s">
        <v>166</v>
      </c>
      <c r="F13" s="488"/>
      <c r="G13" s="488"/>
      <c r="H13" s="489"/>
      <c r="I13" s="138">
        <f>(I5+I6+I7+I9+I10+I11)*maj_arvutused!$O$11+(Parameetrid!I8*maj_arvutused!$O$12)</f>
        <v>23.504000000000001</v>
      </c>
      <c r="J13" s="138">
        <f>(J5+J6+J7+J9+J10+J11)*maj_arvutused!$O$11+(Parameetrid!J8*maj_arvutused!$O$12)</f>
        <v>19.387999999999998</v>
      </c>
      <c r="N13" s="156" t="s">
        <v>201</v>
      </c>
      <c r="O13" s="139">
        <v>4</v>
      </c>
      <c r="P13" s="143">
        <v>0</v>
      </c>
      <c r="Q13" s="220">
        <v>88.08</v>
      </c>
      <c r="R13" s="143">
        <v>6.32</v>
      </c>
    </row>
    <row r="14" spans="1:18" x14ac:dyDescent="0.35">
      <c r="A14" s="54" t="s">
        <v>202</v>
      </c>
      <c r="B14" s="104">
        <v>0.29299999999999998</v>
      </c>
      <c r="C14" s="93" t="s">
        <v>203</v>
      </c>
      <c r="J14" s="495" t="s">
        <v>204</v>
      </c>
      <c r="K14" s="496"/>
      <c r="L14" s="5" t="s">
        <v>205</v>
      </c>
      <c r="N14" s="155" t="s">
        <v>206</v>
      </c>
      <c r="O14" s="262">
        <v>5</v>
      </c>
      <c r="P14" s="143">
        <v>11.93</v>
      </c>
      <c r="Q14" s="143">
        <v>0</v>
      </c>
      <c r="R14" s="143">
        <v>6.32</v>
      </c>
    </row>
    <row r="15" spans="1:18" ht="26.15" customHeight="1" x14ac:dyDescent="0.35">
      <c r="A15" s="5" t="s">
        <v>207</v>
      </c>
      <c r="B15" s="140">
        <v>8.8999999999999996E-2</v>
      </c>
      <c r="C15" s="93" t="s">
        <v>203</v>
      </c>
      <c r="J15" s="227" t="s">
        <v>208</v>
      </c>
      <c r="K15" s="230">
        <v>0</v>
      </c>
      <c r="L15" s="91" t="s">
        <v>209</v>
      </c>
      <c r="N15" s="41"/>
    </row>
    <row r="16" spans="1:18" ht="29.15" customHeight="1" x14ac:dyDescent="0.35">
      <c r="A16" s="5" t="s">
        <v>210</v>
      </c>
      <c r="B16" s="141">
        <v>0.25600000000000001</v>
      </c>
      <c r="E16" s="483" t="s">
        <v>211</v>
      </c>
      <c r="F16" s="483"/>
      <c r="G16" s="483"/>
      <c r="H16" s="483"/>
      <c r="I16" s="144">
        <v>0.61</v>
      </c>
      <c r="J16" s="228" t="s">
        <v>212</v>
      </c>
      <c r="K16" s="230">
        <v>0</v>
      </c>
      <c r="L16" s="91" t="s">
        <v>209</v>
      </c>
      <c r="N16" s="356" t="s">
        <v>213</v>
      </c>
      <c r="O16" s="357">
        <v>126.4</v>
      </c>
    </row>
    <row r="17" spans="1:24" ht="29.15" customHeight="1" x14ac:dyDescent="0.35">
      <c r="E17" s="483" t="s">
        <v>214</v>
      </c>
      <c r="F17" s="483"/>
      <c r="G17" s="483"/>
      <c r="H17" s="483"/>
      <c r="I17" s="144">
        <v>0.59</v>
      </c>
      <c r="J17" s="228" t="s">
        <v>215</v>
      </c>
      <c r="K17" s="230">
        <v>10000</v>
      </c>
      <c r="L17" s="91" t="s">
        <v>216</v>
      </c>
      <c r="N17" s="41"/>
    </row>
    <row r="18" spans="1:24" ht="28.4" customHeight="1" x14ac:dyDescent="0.35">
      <c r="A18" s="221" t="s">
        <v>217</v>
      </c>
      <c r="B18" s="222" t="s">
        <v>218</v>
      </c>
      <c r="J18" s="228" t="s">
        <v>219</v>
      </c>
      <c r="K18" s="230">
        <v>20000</v>
      </c>
      <c r="L18" s="91" t="s">
        <v>220</v>
      </c>
      <c r="N18" s="41"/>
    </row>
    <row r="19" spans="1:24" ht="30" customHeight="1" x14ac:dyDescent="0.35">
      <c r="A19" s="223">
        <f>VLOOKUP(Sisend!B7,Parameetrid!N12:O14,2,FALSE)</f>
        <v>4</v>
      </c>
      <c r="B19" s="224">
        <f>IF((A19=1),1,2)</f>
        <v>2</v>
      </c>
      <c r="E19" s="483" t="s">
        <v>221</v>
      </c>
      <c r="F19" s="483"/>
      <c r="G19" s="483"/>
      <c r="H19" s="483"/>
      <c r="I19" s="144">
        <v>0.16</v>
      </c>
      <c r="J19" s="228" t="s">
        <v>222</v>
      </c>
      <c r="K19" s="230">
        <v>50000</v>
      </c>
      <c r="L19" s="91" t="s">
        <v>223</v>
      </c>
      <c r="N19" s="41"/>
    </row>
    <row r="20" spans="1:24" ht="28.4" customHeight="1" x14ac:dyDescent="0.35">
      <c r="E20" s="483" t="s">
        <v>224</v>
      </c>
      <c r="F20" s="483"/>
      <c r="G20" s="483"/>
      <c r="H20" s="483"/>
      <c r="I20" s="144">
        <v>0.34</v>
      </c>
      <c r="J20" s="228" t="s">
        <v>225</v>
      </c>
      <c r="K20" s="230">
        <f>K19*2</f>
        <v>100000</v>
      </c>
      <c r="L20" s="91" t="s">
        <v>226</v>
      </c>
      <c r="N20" s="41"/>
    </row>
    <row r="21" spans="1:24" ht="29" x14ac:dyDescent="0.35">
      <c r="J21" s="228" t="s">
        <v>227</v>
      </c>
      <c r="K21" s="230">
        <f>K20*2</f>
        <v>200000</v>
      </c>
      <c r="L21" s="91" t="s">
        <v>228</v>
      </c>
      <c r="N21" s="41"/>
    </row>
    <row r="22" spans="1:24" ht="29" x14ac:dyDescent="0.35">
      <c r="J22" s="228" t="s">
        <v>229</v>
      </c>
      <c r="K22" s="230">
        <v>500000</v>
      </c>
      <c r="L22" s="91" t="s">
        <v>228</v>
      </c>
      <c r="P22" s="41"/>
    </row>
    <row r="23" spans="1:24" ht="30" x14ac:dyDescent="0.45">
      <c r="A23" s="40" t="s">
        <v>230</v>
      </c>
      <c r="J23" s="229" t="s">
        <v>231</v>
      </c>
      <c r="K23" s="231">
        <f>_xlfn.XLOOKUP(Sisend!B10,Parameetrid!J15:J22,Parameetrid!K15:K22)</f>
        <v>10000</v>
      </c>
    </row>
    <row r="24" spans="1:24" s="26" customFormat="1" ht="43.5" x14ac:dyDescent="0.35">
      <c r="J24" s="218" t="s">
        <v>232</v>
      </c>
      <c r="K24" s="218" t="s">
        <v>233</v>
      </c>
      <c r="L24" s="8" t="s">
        <v>234</v>
      </c>
      <c r="M24" s="218" t="s">
        <v>496</v>
      </c>
      <c r="P24" s="84" t="s">
        <v>235</v>
      </c>
      <c r="Q24" s="56" t="s">
        <v>236</v>
      </c>
      <c r="R24" s="219" t="s">
        <v>246</v>
      </c>
      <c r="S24" s="65" t="s">
        <v>237</v>
      </c>
      <c r="T24" s="65" t="s">
        <v>238</v>
      </c>
      <c r="U24" s="225">
        <f>VLOOKUP(Sisend!B7,Parameetrid!P25:T27,5,FALSE)</f>
        <v>4</v>
      </c>
    </row>
    <row r="25" spans="1:24" x14ac:dyDescent="0.35">
      <c r="A25" s="52" t="s">
        <v>239</v>
      </c>
      <c r="B25" s="106">
        <f>VLOOKUP(Sisend!C45,Parameetrid!P32:U38,6,FALSE)</f>
        <v>4</v>
      </c>
      <c r="C25" s="102" t="str">
        <f>VLOOKUP(B25,O32:P38,2,FALSE)</f>
        <v>Oluline mitmes sihtriigis</v>
      </c>
      <c r="H25" s="308"/>
      <c r="J25" s="5" t="s">
        <v>240</v>
      </c>
      <c r="K25" s="232" t="s">
        <v>241</v>
      </c>
      <c r="L25" s="353">
        <v>1</v>
      </c>
      <c r="M25" s="434">
        <v>4</v>
      </c>
      <c r="P25" s="155" t="str">
        <f>N12</f>
        <v>Kultuurisündmus</v>
      </c>
      <c r="Q25" s="132">
        <v>0.9</v>
      </c>
      <c r="R25" s="127">
        <v>2</v>
      </c>
      <c r="S25" s="132">
        <v>0</v>
      </c>
      <c r="T25" s="157">
        <v>1</v>
      </c>
      <c r="U25" s="127">
        <v>10</v>
      </c>
    </row>
    <row r="26" spans="1:24" x14ac:dyDescent="0.35">
      <c r="A26" s="51" t="s">
        <v>242</v>
      </c>
      <c r="B26" s="106">
        <f>VLOOKUP(Sisend!C46,Parameetrid!P32:U38,6,FALSE)</f>
        <v>4</v>
      </c>
      <c r="C26" s="102" t="str">
        <f>VLOOKUP(B26,O33:P39,2,FALSE)</f>
        <v>Oluline mitmes sihtriigis</v>
      </c>
      <c r="H26" s="308"/>
      <c r="J26" s="5" t="s">
        <v>243</v>
      </c>
      <c r="K26" s="232" t="s">
        <v>241</v>
      </c>
      <c r="L26" s="353">
        <v>1</v>
      </c>
      <c r="M26" s="434">
        <v>4</v>
      </c>
      <c r="P26" s="156" t="str">
        <f>N13</f>
        <v>Osaluspõhine spordisündmus</v>
      </c>
      <c r="Q26" s="133">
        <v>1</v>
      </c>
      <c r="R26" s="127">
        <v>3</v>
      </c>
      <c r="S26" s="132">
        <v>1</v>
      </c>
      <c r="T26" s="157">
        <v>4</v>
      </c>
      <c r="U26" s="127">
        <v>4</v>
      </c>
    </row>
    <row r="27" spans="1:24" x14ac:dyDescent="0.35">
      <c r="A27" s="51" t="s">
        <v>244</v>
      </c>
      <c r="B27" s="106">
        <f>VLOOKUP(Sisend!B10,Parameetrid!P31:U38,6,FALSE)</f>
        <v>2</v>
      </c>
      <c r="C27" s="102" t="str">
        <f>VLOOKUP(B27,O31:P38,2,FALSE)</f>
        <v>Üle-eestilise tähtsusega</v>
      </c>
      <c r="H27" s="199"/>
      <c r="J27" s="5" t="s">
        <v>245</v>
      </c>
      <c r="K27" s="232" t="s">
        <v>241</v>
      </c>
      <c r="L27" s="353">
        <v>1</v>
      </c>
      <c r="M27" s="434">
        <v>4</v>
      </c>
      <c r="P27" s="155" t="str">
        <f>N14</f>
        <v>Vaatajakeskne spordisündmus</v>
      </c>
      <c r="Q27" s="132">
        <v>0.75</v>
      </c>
      <c r="R27" s="134">
        <v>1</v>
      </c>
      <c r="S27" s="132">
        <v>-1</v>
      </c>
      <c r="T27" s="157">
        <v>5</v>
      </c>
      <c r="U27" s="127">
        <v>25</v>
      </c>
    </row>
    <row r="28" spans="1:24" x14ac:dyDescent="0.35">
      <c r="A28" s="54" t="s">
        <v>246</v>
      </c>
      <c r="B28" s="107">
        <f>VLOOKUP(Sisend!B7,Parameetrid!P25:R27,3,FALSE)</f>
        <v>3</v>
      </c>
      <c r="J28" s="5" t="s">
        <v>247</v>
      </c>
      <c r="K28" s="232" t="s">
        <v>241</v>
      </c>
      <c r="L28" s="353">
        <v>1</v>
      </c>
      <c r="M28" s="434">
        <v>3</v>
      </c>
      <c r="U28" s="124">
        <f>VLOOKUP(Sisend!B7,Parameetrid!P25:U27,6,FALSE)</f>
        <v>4</v>
      </c>
      <c r="V28" s="91" t="s">
        <v>248</v>
      </c>
      <c r="W28" s="91"/>
      <c r="X28" s="91"/>
    </row>
    <row r="29" spans="1:24" x14ac:dyDescent="0.35">
      <c r="A29" s="54" t="s">
        <v>237</v>
      </c>
      <c r="B29" s="106">
        <f>VLOOKUP(Sisend!B7,P25:S27,4,FALSE)</f>
        <v>1</v>
      </c>
      <c r="G29" s="54" t="s">
        <v>249</v>
      </c>
      <c r="H29" s="102">
        <v>1</v>
      </c>
      <c r="J29" s="5" t="s">
        <v>250</v>
      </c>
      <c r="K29" s="232" t="s">
        <v>241</v>
      </c>
      <c r="L29" s="353">
        <v>1</v>
      </c>
      <c r="M29" s="434">
        <v>1</v>
      </c>
    </row>
    <row r="30" spans="1:24" x14ac:dyDescent="0.35">
      <c r="A30" s="54" t="s">
        <v>236</v>
      </c>
      <c r="B30" s="106">
        <f>VLOOKUP(Sisend!B7,P25:Q27,2,FALSE)</f>
        <v>1</v>
      </c>
      <c r="G30" s="54" t="s">
        <v>251</v>
      </c>
      <c r="H30" s="102">
        <v>0</v>
      </c>
      <c r="J30" s="5" t="s">
        <v>252</v>
      </c>
      <c r="K30" s="232" t="s">
        <v>253</v>
      </c>
      <c r="L30" s="353">
        <v>2</v>
      </c>
      <c r="M30" s="434">
        <v>0</v>
      </c>
      <c r="O30" s="22" t="s">
        <v>238</v>
      </c>
      <c r="P30" s="155" t="s">
        <v>254</v>
      </c>
      <c r="Q30" s="424" t="s">
        <v>255</v>
      </c>
      <c r="R30" s="54" t="s">
        <v>256</v>
      </c>
      <c r="S30" s="54" t="s">
        <v>257</v>
      </c>
      <c r="T30" s="54" t="s">
        <v>258</v>
      </c>
      <c r="U30" s="22" t="s">
        <v>238</v>
      </c>
    </row>
    <row r="31" spans="1:24" x14ac:dyDescent="0.35">
      <c r="A31" s="54" t="s">
        <v>259</v>
      </c>
      <c r="B31" s="106">
        <f>VLOOKUP(Sisend!B8,'KOV-id'!B4:C83,2,FALSE)</f>
        <v>6388</v>
      </c>
      <c r="G31" s="212" t="s">
        <v>260</v>
      </c>
      <c r="H31" s="124">
        <f>VLOOKUP(Sisend!B9,Parameetrid!G29:H30,2,FALSE)</f>
        <v>0</v>
      </c>
      <c r="J31" s="5" t="s">
        <v>261</v>
      </c>
      <c r="K31" s="232" t="s">
        <v>253</v>
      </c>
      <c r="L31" s="353">
        <v>2</v>
      </c>
      <c r="M31" s="434">
        <v>-1</v>
      </c>
      <c r="O31" s="22">
        <v>0</v>
      </c>
      <c r="P31" s="5" t="s">
        <v>208</v>
      </c>
      <c r="Q31" s="127">
        <v>0</v>
      </c>
      <c r="R31" s="127">
        <v>0</v>
      </c>
      <c r="S31" s="127">
        <v>0</v>
      </c>
      <c r="T31" s="127">
        <v>0</v>
      </c>
      <c r="U31" s="22">
        <v>0</v>
      </c>
    </row>
    <row r="32" spans="1:24" x14ac:dyDescent="0.35">
      <c r="A32" s="43"/>
      <c r="J32" s="5" t="s">
        <v>262</v>
      </c>
      <c r="K32" s="232" t="s">
        <v>253</v>
      </c>
      <c r="L32" s="353">
        <v>2</v>
      </c>
      <c r="M32" s="434">
        <v>0</v>
      </c>
      <c r="O32" s="88">
        <v>1</v>
      </c>
      <c r="P32" s="155" t="s">
        <v>212</v>
      </c>
      <c r="Q32" s="128">
        <v>0</v>
      </c>
      <c r="R32" s="128">
        <v>0</v>
      </c>
      <c r="S32" s="128">
        <v>0</v>
      </c>
      <c r="T32" s="128">
        <v>0</v>
      </c>
      <c r="U32" s="88">
        <v>1</v>
      </c>
    </row>
    <row r="33" spans="1:23" x14ac:dyDescent="0.35">
      <c r="J33" s="5" t="s">
        <v>263</v>
      </c>
      <c r="K33" s="232" t="s">
        <v>241</v>
      </c>
      <c r="L33" s="353">
        <v>1</v>
      </c>
      <c r="M33" s="434">
        <v>1</v>
      </c>
      <c r="O33" s="88">
        <v>2</v>
      </c>
      <c r="P33" s="155" t="s">
        <v>215</v>
      </c>
      <c r="Q33" s="128">
        <v>0</v>
      </c>
      <c r="R33" s="128">
        <v>0</v>
      </c>
      <c r="S33" s="128">
        <v>0</v>
      </c>
      <c r="T33" s="128">
        <v>0</v>
      </c>
      <c r="U33" s="88">
        <v>2</v>
      </c>
    </row>
    <row r="34" spans="1:23" x14ac:dyDescent="0.35">
      <c r="A34" s="54" t="s">
        <v>264</v>
      </c>
      <c r="B34" s="54" t="s">
        <v>45</v>
      </c>
      <c r="J34" s="5" t="s">
        <v>265</v>
      </c>
      <c r="K34" s="232" t="s">
        <v>241</v>
      </c>
      <c r="L34" s="353">
        <v>1</v>
      </c>
      <c r="M34" s="434">
        <v>2</v>
      </c>
      <c r="O34" s="88">
        <v>3</v>
      </c>
      <c r="P34" s="155" t="s">
        <v>219</v>
      </c>
      <c r="Q34" s="128">
        <v>3</v>
      </c>
      <c r="R34" s="128">
        <v>3</v>
      </c>
      <c r="S34" s="128">
        <v>3</v>
      </c>
      <c r="T34" s="128">
        <v>3</v>
      </c>
      <c r="U34" s="88">
        <v>3</v>
      </c>
    </row>
    <row r="35" spans="1:23" x14ac:dyDescent="0.35">
      <c r="A35" s="124">
        <f>IF(Sisend!D15&lt;100,2,IF(Sisend!D15&lt;250,3,IF(Sisend!D15&lt;500,4,IF(Sisend!D15&lt;2500,5,IF(Sisend!D15&gt;=2500,6)))))</f>
        <v>4</v>
      </c>
      <c r="B35" s="125">
        <f>A35+C39</f>
        <v>4</v>
      </c>
      <c r="J35" s="5" t="s">
        <v>266</v>
      </c>
      <c r="K35" s="232" t="s">
        <v>241</v>
      </c>
      <c r="L35" s="353">
        <v>1</v>
      </c>
      <c r="M35" s="434">
        <v>3</v>
      </c>
      <c r="O35" s="88">
        <v>4</v>
      </c>
      <c r="P35" s="155" t="s">
        <v>222</v>
      </c>
      <c r="Q35" s="128">
        <v>4</v>
      </c>
      <c r="R35" s="128">
        <v>4</v>
      </c>
      <c r="S35" s="128">
        <v>4</v>
      </c>
      <c r="T35" s="128">
        <v>4</v>
      </c>
      <c r="U35" s="88">
        <v>4</v>
      </c>
    </row>
    <row r="36" spans="1:23" x14ac:dyDescent="0.35">
      <c r="B36" s="41"/>
      <c r="J36" s="5" t="s">
        <v>267</v>
      </c>
      <c r="K36" s="232" t="s">
        <v>241</v>
      </c>
      <c r="L36" s="353">
        <v>1</v>
      </c>
      <c r="M36" s="434">
        <v>2</v>
      </c>
      <c r="O36" s="88">
        <v>5</v>
      </c>
      <c r="P36" s="155" t="s">
        <v>225</v>
      </c>
      <c r="Q36" s="129">
        <v>5</v>
      </c>
      <c r="R36" s="129">
        <v>5</v>
      </c>
      <c r="S36" s="129">
        <v>5</v>
      </c>
      <c r="T36" s="129">
        <v>5</v>
      </c>
      <c r="U36" s="88">
        <v>5</v>
      </c>
    </row>
    <row r="37" spans="1:23" x14ac:dyDescent="0.35">
      <c r="A37" s="422" t="s">
        <v>268</v>
      </c>
      <c r="B37" s="156" t="s">
        <v>249</v>
      </c>
      <c r="C37" s="257">
        <v>1</v>
      </c>
      <c r="K37" s="226"/>
      <c r="O37" s="88">
        <v>6</v>
      </c>
      <c r="P37" s="155" t="s">
        <v>227</v>
      </c>
      <c r="Q37" s="129">
        <v>6</v>
      </c>
      <c r="R37" s="129">
        <v>6</v>
      </c>
      <c r="S37" s="129">
        <v>6</v>
      </c>
      <c r="T37" s="129">
        <v>6</v>
      </c>
      <c r="U37" s="88">
        <v>6</v>
      </c>
    </row>
    <row r="38" spans="1:23" x14ac:dyDescent="0.35">
      <c r="A38" s="5"/>
      <c r="B38" s="155" t="s">
        <v>251</v>
      </c>
      <c r="C38" s="257">
        <v>0</v>
      </c>
      <c r="J38" s="5" t="s">
        <v>269</v>
      </c>
      <c r="K38" s="233" t="str">
        <f>_xlfn.XLOOKUP(Sisend!B11,J25:J36,K25:K36,"midagi on valesti")</f>
        <v>K</v>
      </c>
      <c r="L38" s="352">
        <f>_xlfn.XLOOKUP(Sisend!B11,J25:J36,L25:L36,"midagi on valesti")</f>
        <v>2</v>
      </c>
      <c r="M38" s="329">
        <f>_xlfn.XLOOKUP(Sisend!B11,Parameetrid!J25:J36,Parameetrid!M25:M36,"Midagi on valesti.")</f>
        <v>0</v>
      </c>
      <c r="O38" s="88">
        <v>7</v>
      </c>
      <c r="P38" s="155" t="s">
        <v>229</v>
      </c>
      <c r="Q38" s="130">
        <v>7</v>
      </c>
      <c r="R38" s="129">
        <v>7</v>
      </c>
      <c r="S38" s="129">
        <v>7</v>
      </c>
      <c r="T38" s="129">
        <v>7</v>
      </c>
      <c r="U38" s="88">
        <v>7</v>
      </c>
    </row>
    <row r="39" spans="1:23" x14ac:dyDescent="0.35">
      <c r="B39" s="41"/>
      <c r="C39" s="237">
        <f>VLOOKUP(Sisend!B9,Parameetrid!B37:C38,2,FALSE)</f>
        <v>0</v>
      </c>
      <c r="P39" s="42" t="s">
        <v>270</v>
      </c>
      <c r="Q39" s="155" t="s">
        <v>255</v>
      </c>
      <c r="R39" s="54" t="s">
        <v>256</v>
      </c>
      <c r="S39" s="54" t="s">
        <v>257</v>
      </c>
      <c r="T39" s="54" t="s">
        <v>258</v>
      </c>
    </row>
    <row r="40" spans="1:23" x14ac:dyDescent="0.35">
      <c r="B40" s="199"/>
      <c r="E40" t="s">
        <v>10</v>
      </c>
      <c r="P40" s="5" t="s">
        <v>208</v>
      </c>
      <c r="Q40" s="127">
        <v>0</v>
      </c>
      <c r="R40" s="127">
        <v>0</v>
      </c>
      <c r="S40" s="127">
        <v>0</v>
      </c>
      <c r="T40" s="127">
        <v>0</v>
      </c>
    </row>
    <row r="41" spans="1:23" x14ac:dyDescent="0.35">
      <c r="A41" s="54" t="s">
        <v>271</v>
      </c>
      <c r="B41" s="203">
        <f>IF(Sisend!B7="Kultuurisündmus",5575.2*EXP(0.0005*Sisend!D15),21601)</f>
        <v>21601</v>
      </c>
      <c r="P41" s="155" t="s">
        <v>212</v>
      </c>
      <c r="Q41" s="131">
        <v>0</v>
      </c>
      <c r="R41" s="132">
        <v>0</v>
      </c>
      <c r="S41" s="132">
        <v>0</v>
      </c>
      <c r="T41" s="132">
        <v>0</v>
      </c>
    </row>
    <row r="42" spans="1:23" x14ac:dyDescent="0.35">
      <c r="A42" s="54" t="s">
        <v>272</v>
      </c>
      <c r="B42" s="124">
        <f>Sisend!B5*Parameetrid!U28</f>
        <v>20000</v>
      </c>
      <c r="P42" s="155" t="s">
        <v>215</v>
      </c>
      <c r="Q42" s="132">
        <v>2</v>
      </c>
      <c r="R42" s="132">
        <v>2</v>
      </c>
      <c r="S42" s="132">
        <v>2</v>
      </c>
      <c r="T42" s="132">
        <v>2</v>
      </c>
    </row>
    <row r="43" spans="1:23" x14ac:dyDescent="0.35">
      <c r="P43" s="155" t="s">
        <v>219</v>
      </c>
      <c r="Q43" s="132">
        <v>3</v>
      </c>
      <c r="R43" s="132">
        <v>3</v>
      </c>
      <c r="S43" s="132">
        <v>3</v>
      </c>
      <c r="T43" s="132">
        <v>3</v>
      </c>
    </row>
    <row r="44" spans="1:23" x14ac:dyDescent="0.35">
      <c r="A44" s="10" t="s">
        <v>273</v>
      </c>
      <c r="B44" s="5"/>
      <c r="P44" s="155" t="s">
        <v>222</v>
      </c>
      <c r="Q44" s="132">
        <v>4</v>
      </c>
      <c r="R44" s="132">
        <v>4</v>
      </c>
      <c r="S44" s="132">
        <v>4</v>
      </c>
      <c r="T44" s="132">
        <v>4</v>
      </c>
    </row>
    <row r="45" spans="1:23" x14ac:dyDescent="0.35">
      <c r="A45" s="54">
        <v>-1</v>
      </c>
      <c r="B45" s="5" t="s">
        <v>104</v>
      </c>
      <c r="P45" s="155" t="s">
        <v>225</v>
      </c>
      <c r="Q45" s="127">
        <v>5</v>
      </c>
      <c r="R45" s="127">
        <v>5</v>
      </c>
      <c r="S45" s="127">
        <v>5</v>
      </c>
      <c r="T45" s="127">
        <v>5</v>
      </c>
    </row>
    <row r="46" spans="1:23" x14ac:dyDescent="0.35">
      <c r="A46" s="54">
        <v>0</v>
      </c>
      <c r="B46" s="5" t="s">
        <v>274</v>
      </c>
      <c r="P46" s="155" t="s">
        <v>227</v>
      </c>
      <c r="Q46" s="127">
        <v>6</v>
      </c>
      <c r="R46" s="127">
        <v>6</v>
      </c>
      <c r="S46" s="127">
        <v>6</v>
      </c>
      <c r="T46" s="127">
        <v>6</v>
      </c>
    </row>
    <row r="47" spans="1:23" x14ac:dyDescent="0.35">
      <c r="A47" s="54">
        <v>1</v>
      </c>
      <c r="B47" s="5" t="s">
        <v>275</v>
      </c>
      <c r="P47" s="155" t="s">
        <v>229</v>
      </c>
      <c r="Q47" s="127">
        <v>7</v>
      </c>
      <c r="R47" s="127">
        <v>7</v>
      </c>
      <c r="S47" s="127">
        <v>7</v>
      </c>
      <c r="T47" s="127">
        <v>7</v>
      </c>
      <c r="V47" s="5" t="s">
        <v>276</v>
      </c>
      <c r="W47" s="256">
        <f>IF(kuv_arvutused!B16=1,0.0001,IF(kuv_arvutused!B16=4,0.001,IF(kuv_arvutused!B16=5,1)))</f>
        <v>1E-3</v>
      </c>
    </row>
    <row r="48" spans="1:23" x14ac:dyDescent="0.35">
      <c r="A48" s="54">
        <v>2</v>
      </c>
      <c r="B48" s="5" t="s">
        <v>102</v>
      </c>
    </row>
    <row r="49" spans="1:23" ht="15" customHeight="1" x14ac:dyDescent="0.35">
      <c r="A49" s="254">
        <v>3</v>
      </c>
      <c r="B49" s="5" t="s">
        <v>101</v>
      </c>
      <c r="P49" s="44"/>
      <c r="Q49" s="44" t="s">
        <v>178</v>
      </c>
      <c r="R49" s="44" t="s">
        <v>277</v>
      </c>
      <c r="U49" s="476" t="s">
        <v>278</v>
      </c>
      <c r="V49" s="54" t="s">
        <v>208</v>
      </c>
      <c r="W49" s="127">
        <v>0</v>
      </c>
    </row>
    <row r="50" spans="1:23" x14ac:dyDescent="0.35">
      <c r="A50" s="54">
        <v>4</v>
      </c>
      <c r="B50" s="5" t="s">
        <v>99</v>
      </c>
      <c r="P50" s="54" t="s">
        <v>279</v>
      </c>
      <c r="Q50" s="124">
        <f>Sisend!C47</f>
        <v>0</v>
      </c>
      <c r="R50" s="124">
        <f>Sisend!C47+Sisend!C48</f>
        <v>51153.167000000001</v>
      </c>
      <c r="U50" s="477"/>
      <c r="V50" s="155" t="s">
        <v>212</v>
      </c>
      <c r="W50" s="127">
        <v>12</v>
      </c>
    </row>
    <row r="51" spans="1:23" x14ac:dyDescent="0.35">
      <c r="A51" s="54">
        <v>5</v>
      </c>
      <c r="B51" s="5" t="s">
        <v>96</v>
      </c>
      <c r="P51" s="54" t="s">
        <v>280</v>
      </c>
      <c r="Q51" s="204">
        <f>IF(Q50&lt;1000,1,IF(Q50&lt;2500,1.1,IF(Q50&lt;5000,1.2,IF(Q50&gt;=5000,1.3))))</f>
        <v>1</v>
      </c>
      <c r="R51" s="204">
        <f>IF(R50&lt;1000,1,IF(R50&lt;2500,1.1,IF(R50&lt;5000,1.2,IF(R50&gt;=5000,1.3))))</f>
        <v>1.3</v>
      </c>
      <c r="U51" s="477"/>
      <c r="V51" s="155" t="s">
        <v>281</v>
      </c>
      <c r="W51" s="127">
        <v>120</v>
      </c>
    </row>
    <row r="52" spans="1:23" x14ac:dyDescent="0.35">
      <c r="A52" s="10" t="s">
        <v>159</v>
      </c>
      <c r="B52" s="5"/>
      <c r="U52" s="477"/>
      <c r="V52" s="155" t="s">
        <v>219</v>
      </c>
      <c r="W52" s="127">
        <v>1203</v>
      </c>
    </row>
    <row r="53" spans="1:23" x14ac:dyDescent="0.35">
      <c r="A53" s="54">
        <v>0</v>
      </c>
      <c r="B53" s="5" t="s">
        <v>274</v>
      </c>
      <c r="U53" s="477"/>
      <c r="V53" s="155" t="s">
        <v>222</v>
      </c>
      <c r="W53" s="127">
        <v>2406</v>
      </c>
    </row>
    <row r="54" spans="1:23" ht="14.25" customHeight="1" x14ac:dyDescent="0.35">
      <c r="A54" s="54">
        <v>1</v>
      </c>
      <c r="B54" s="5" t="s">
        <v>275</v>
      </c>
      <c r="P54" s="54" t="s">
        <v>282</v>
      </c>
      <c r="Q54" s="102">
        <v>0</v>
      </c>
      <c r="U54" s="477"/>
      <c r="V54" s="155" t="s">
        <v>225</v>
      </c>
      <c r="W54" s="127">
        <v>10000</v>
      </c>
    </row>
    <row r="55" spans="1:23" ht="14.25" customHeight="1" x14ac:dyDescent="0.35">
      <c r="A55" s="54">
        <v>2</v>
      </c>
      <c r="B55" s="5" t="s">
        <v>102</v>
      </c>
      <c r="P55" s="54" t="s">
        <v>283</v>
      </c>
      <c r="Q55" s="102">
        <v>1</v>
      </c>
      <c r="U55" s="477"/>
      <c r="V55" s="155" t="s">
        <v>227</v>
      </c>
      <c r="W55" s="127">
        <v>25000</v>
      </c>
    </row>
    <row r="56" spans="1:23" x14ac:dyDescent="0.35">
      <c r="A56" s="54">
        <v>3</v>
      </c>
      <c r="B56" s="5" t="s">
        <v>101</v>
      </c>
      <c r="P56" s="54" t="s">
        <v>284</v>
      </c>
      <c r="Q56" s="102">
        <v>2</v>
      </c>
      <c r="U56" s="478"/>
      <c r="V56" s="155" t="s">
        <v>229</v>
      </c>
      <c r="W56" s="127">
        <v>56818</v>
      </c>
    </row>
    <row r="57" spans="1:23" x14ac:dyDescent="0.35">
      <c r="A57" s="54">
        <v>4</v>
      </c>
      <c r="B57" s="5" t="s">
        <v>99</v>
      </c>
      <c r="Q57" s="107">
        <f>VLOOKUP(Sisend!C52,Parameetrid!P54:Q56,2,FALSE)</f>
        <v>1</v>
      </c>
      <c r="R57" s="135">
        <f>IF(Q57=2,1.25,IF(Q57=1,1.1,1))</f>
        <v>1.1000000000000001</v>
      </c>
    </row>
    <row r="58" spans="1:23" x14ac:dyDescent="0.35">
      <c r="A58" s="54">
        <v>5</v>
      </c>
      <c r="B58" s="5" t="s">
        <v>96</v>
      </c>
    </row>
    <row r="59" spans="1:23" ht="14.25" customHeight="1" x14ac:dyDescent="0.35">
      <c r="O59" s="490" t="s">
        <v>285</v>
      </c>
      <c r="P59" s="155" t="s">
        <v>209</v>
      </c>
      <c r="Q59" s="198">
        <v>2500</v>
      </c>
      <c r="S59" s="323" t="s">
        <v>35</v>
      </c>
      <c r="T59" s="324">
        <f>VLOOKUP(Sisend!B12,S60:T64,2,FALSE)</f>
        <v>1</v>
      </c>
    </row>
    <row r="60" spans="1:23" x14ac:dyDescent="0.35">
      <c r="O60" s="490"/>
      <c r="P60" s="155" t="s">
        <v>216</v>
      </c>
      <c r="Q60" s="198">
        <v>25000</v>
      </c>
      <c r="S60" s="155" t="s">
        <v>286</v>
      </c>
      <c r="T60" s="132">
        <v>0.5</v>
      </c>
    </row>
    <row r="61" spans="1:23" x14ac:dyDescent="0.35">
      <c r="O61" s="490"/>
      <c r="P61" s="155" t="s">
        <v>220</v>
      </c>
      <c r="Q61" s="198">
        <v>75000</v>
      </c>
      <c r="S61" s="155" t="s">
        <v>287</v>
      </c>
      <c r="T61" s="132">
        <v>0.5</v>
      </c>
    </row>
    <row r="62" spans="1:23" x14ac:dyDescent="0.35">
      <c r="O62" s="490"/>
      <c r="P62" s="155" t="s">
        <v>223</v>
      </c>
      <c r="Q62" s="198">
        <v>250000</v>
      </c>
      <c r="S62" s="155" t="s">
        <v>288</v>
      </c>
      <c r="T62" s="132">
        <v>1</v>
      </c>
    </row>
    <row r="63" spans="1:23" x14ac:dyDescent="0.35">
      <c r="O63" s="490"/>
      <c r="P63" s="155" t="s">
        <v>226</v>
      </c>
      <c r="Q63" s="198">
        <v>2500000</v>
      </c>
      <c r="S63" s="155" t="s">
        <v>289</v>
      </c>
      <c r="T63" s="132">
        <v>1</v>
      </c>
    </row>
    <row r="64" spans="1:23" x14ac:dyDescent="0.35">
      <c r="O64" s="490"/>
      <c r="P64" s="155" t="s">
        <v>228</v>
      </c>
      <c r="Q64" s="198">
        <v>20000000</v>
      </c>
      <c r="S64" s="155" t="s">
        <v>290</v>
      </c>
      <c r="T64" s="132">
        <v>0.75</v>
      </c>
    </row>
    <row r="65" spans="13:17" ht="14.25" customHeight="1" x14ac:dyDescent="0.35">
      <c r="M65" s="253"/>
    </row>
    <row r="66" spans="13:17" x14ac:dyDescent="0.35">
      <c r="M66" s="253"/>
    </row>
    <row r="67" spans="13:17" x14ac:dyDescent="0.35">
      <c r="M67" s="253"/>
    </row>
    <row r="68" spans="13:17" x14ac:dyDescent="0.35">
      <c r="M68" s="253"/>
    </row>
    <row r="69" spans="13:17" x14ac:dyDescent="0.35">
      <c r="M69" s="253"/>
    </row>
    <row r="70" spans="13:17" x14ac:dyDescent="0.35">
      <c r="M70" s="253"/>
    </row>
    <row r="74" spans="13:17" x14ac:dyDescent="0.35">
      <c r="P74" s="199"/>
      <c r="Q74" s="199"/>
    </row>
    <row r="75" spans="13:17" x14ac:dyDescent="0.35">
      <c r="P75" s="199"/>
      <c r="Q75" s="199"/>
    </row>
    <row r="76" spans="13:17" x14ac:dyDescent="0.35">
      <c r="P76" s="199"/>
      <c r="Q76" s="199"/>
    </row>
    <row r="77" spans="13:17" x14ac:dyDescent="0.35">
      <c r="P77" s="199"/>
      <c r="Q77" s="199"/>
    </row>
    <row r="78" spans="13:17" x14ac:dyDescent="0.35">
      <c r="P78" s="199"/>
      <c r="Q78" s="199"/>
    </row>
    <row r="79" spans="13:17" x14ac:dyDescent="0.35">
      <c r="P79" s="199"/>
      <c r="Q79" s="199"/>
    </row>
  </sheetData>
  <mergeCells count="19">
    <mergeCell ref="O59:O64"/>
    <mergeCell ref="A1:N1"/>
    <mergeCell ref="E4:H4"/>
    <mergeCell ref="E5:H5"/>
    <mergeCell ref="E6:H6"/>
    <mergeCell ref="E7:H7"/>
    <mergeCell ref="A2:J2"/>
    <mergeCell ref="J14:K14"/>
    <mergeCell ref="U49:U56"/>
    <mergeCell ref="E8:H8"/>
    <mergeCell ref="E9:H9"/>
    <mergeCell ref="E10:H10"/>
    <mergeCell ref="E11:H11"/>
    <mergeCell ref="E16:H16"/>
    <mergeCell ref="E17:H17"/>
    <mergeCell ref="E19:H19"/>
    <mergeCell ref="E20:H20"/>
    <mergeCell ref="E12:H12"/>
    <mergeCell ref="E13:H13"/>
  </mergeCells>
  <phoneticPr fontId="51" type="noConversion"/>
  <pageMargins left="0.7" right="0.7" top="0.75" bottom="0.75" header="0.3" footer="0.3"/>
  <legacy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EA70AF-05EF-4270-80E0-CE646B992970}">
  <sheetPr codeName="Leht7"/>
  <dimension ref="A1:AF58"/>
  <sheetViews>
    <sheetView zoomScaleNormal="100" workbookViewId="0">
      <selection activeCell="K10" sqref="K10"/>
    </sheetView>
  </sheetViews>
  <sheetFormatPr defaultColWidth="8.81640625" defaultRowHeight="14.5" x14ac:dyDescent="0.35"/>
  <cols>
    <col min="1" max="4" width="11.81640625" customWidth="1"/>
    <col min="5" max="11" width="16.81640625" customWidth="1"/>
    <col min="12" max="15" width="10.81640625" customWidth="1"/>
    <col min="16" max="29" width="16.81640625" customWidth="1"/>
    <col min="30" max="30" width="38.81640625" style="6" customWidth="1"/>
    <col min="31" max="31" width="18.81640625" style="6" customWidth="1"/>
  </cols>
  <sheetData>
    <row r="1" spans="1:32" s="74" customFormat="1" ht="57.65" customHeight="1" x14ac:dyDescent="0.45">
      <c r="A1" s="518" t="s">
        <v>291</v>
      </c>
      <c r="B1" s="519"/>
      <c r="C1" s="519"/>
      <c r="D1" s="520"/>
      <c r="E1" s="70" t="s">
        <v>292</v>
      </c>
      <c r="F1" s="70" t="s">
        <v>293</v>
      </c>
      <c r="G1" s="71" t="s">
        <v>294</v>
      </c>
      <c r="H1" s="71" t="s">
        <v>295</v>
      </c>
      <c r="I1" s="72" t="s">
        <v>296</v>
      </c>
      <c r="J1" s="76" t="s">
        <v>297</v>
      </c>
      <c r="K1" s="75" t="s">
        <v>298</v>
      </c>
      <c r="L1" s="533" t="s">
        <v>291</v>
      </c>
      <c r="M1" s="533"/>
      <c r="N1" s="533"/>
      <c r="O1" s="533"/>
      <c r="P1" s="68" t="s">
        <v>116</v>
      </c>
      <c r="Q1" s="68" t="s">
        <v>299</v>
      </c>
      <c r="R1" s="68" t="s">
        <v>118</v>
      </c>
      <c r="S1" s="68" t="s">
        <v>114</v>
      </c>
      <c r="T1" s="68" t="s">
        <v>122</v>
      </c>
      <c r="U1" s="68" t="s">
        <v>300</v>
      </c>
      <c r="V1" s="68" t="s">
        <v>301</v>
      </c>
      <c r="W1" s="69" t="s">
        <v>130</v>
      </c>
      <c r="X1" s="69" t="s">
        <v>302</v>
      </c>
      <c r="Y1" s="69" t="s">
        <v>132</v>
      </c>
      <c r="Z1" s="69" t="s">
        <v>128</v>
      </c>
      <c r="AA1" s="69" t="s">
        <v>136</v>
      </c>
      <c r="AB1" s="69" t="s">
        <v>303</v>
      </c>
      <c r="AC1" s="69" t="s">
        <v>134</v>
      </c>
      <c r="AD1" s="73"/>
      <c r="AE1" s="73"/>
      <c r="AF1" s="73"/>
    </row>
    <row r="2" spans="1:32" x14ac:dyDescent="0.35">
      <c r="A2" s="515" t="str">
        <f>Sisend!A33</f>
        <v>Korraldajate ja osalejate transpordikulu</v>
      </c>
      <c r="B2" s="516"/>
      <c r="C2" s="516"/>
      <c r="D2" s="517"/>
      <c r="E2" s="60">
        <f>Sisend!D33</f>
        <v>29375.086000000003</v>
      </c>
      <c r="F2" s="58">
        <f>E2*Sisend!$H$28/Sisend!$G$28</f>
        <v>2479.2085030705393</v>
      </c>
      <c r="G2" s="287">
        <f>Sisend!E33*Sisend!$H$28/Sisend!$G$28</f>
        <v>1276.5586556016597</v>
      </c>
      <c r="H2" s="287">
        <f>G2*$O$11/(1+$O$11)*0.8+G2*O13/(1+O13)*0.2+G2*0.5*R11</f>
        <v>375.64307980409495</v>
      </c>
      <c r="I2" s="288">
        <f t="shared" ref="I2:I8" si="0">$Z$11</f>
        <v>0.2</v>
      </c>
      <c r="J2" s="78">
        <f t="shared" ref="J2:J7" si="1">G2*I2</f>
        <v>255.31173112033196</v>
      </c>
      <c r="K2" s="78">
        <f>E2*Sisend!$K$28/Sisend!$G$28</f>
        <v>22104.712236362542</v>
      </c>
      <c r="L2" s="5" t="str">
        <f>A2</f>
        <v>Korraldajate ja osalejate transpordikulu</v>
      </c>
      <c r="M2" s="5"/>
      <c r="N2" s="5"/>
      <c r="O2" s="5"/>
      <c r="P2" s="3">
        <v>0</v>
      </c>
      <c r="Q2" s="3">
        <f>G2</f>
        <v>1276.5586556016597</v>
      </c>
      <c r="R2" s="3">
        <f>Q2*$R$14</f>
        <v>651.04491435684645</v>
      </c>
      <c r="S2" s="3">
        <f t="shared" ref="S2:S7" si="2">P2+R2</f>
        <v>651.04491435684645</v>
      </c>
      <c r="T2" s="3">
        <f t="shared" ref="T2:T7" si="3">S2*$R$15</f>
        <v>983.07782067883818</v>
      </c>
      <c r="U2" s="3">
        <f t="shared" ref="U2:U7" si="4">S2+T2</f>
        <v>1634.1227350356846</v>
      </c>
      <c r="V2" s="3">
        <f t="shared" ref="V2:V8" si="5">H2</f>
        <v>375.64307980409495</v>
      </c>
      <c r="W2" s="3">
        <v>0</v>
      </c>
      <c r="X2" s="3">
        <f>J2+K2</f>
        <v>22360.023967482874</v>
      </c>
      <c r="Y2" s="3">
        <f>X2*$Z$11</f>
        <v>4472.0047934965751</v>
      </c>
      <c r="Z2" s="3">
        <f t="shared" ref="Z2:Z7" si="6">W2+Y2</f>
        <v>4472.0047934965751</v>
      </c>
      <c r="AA2" s="3">
        <f t="shared" ref="AA2:AA7" si="7">Z2*$Z$12</f>
        <v>5053.3654166511296</v>
      </c>
      <c r="AB2" s="3">
        <f t="shared" ref="AB2:AB7" si="8">Z2+AA2</f>
        <v>9525.3702101477047</v>
      </c>
      <c r="AC2" s="3">
        <v>0</v>
      </c>
      <c r="AE2" s="314"/>
      <c r="AF2" s="6"/>
    </row>
    <row r="3" spans="1:32" x14ac:dyDescent="0.35">
      <c r="A3" s="515" t="str">
        <f>Sisend!A34</f>
        <v>Korraldajate ja osalejate majutuskulu</v>
      </c>
      <c r="B3" s="516"/>
      <c r="C3" s="516"/>
      <c r="D3" s="517"/>
      <c r="E3" s="60">
        <f>Sisend!D34</f>
        <v>49633.766000000003</v>
      </c>
      <c r="F3" s="58">
        <f>E3*Sisend!$H$28/Sisend!$G$28</f>
        <v>4189.0074707053946</v>
      </c>
      <c r="G3" s="287">
        <f>Sisend!E34*Sisend!$H$28/Sisend!$G$28</f>
        <v>2174.8777095435685</v>
      </c>
      <c r="H3" s="287">
        <f>G3*$O$12/(1+$O$12)</f>
        <v>250.20717012448137</v>
      </c>
      <c r="I3" s="288">
        <f t="shared" si="0"/>
        <v>0.2</v>
      </c>
      <c r="J3" s="78">
        <f t="shared" si="1"/>
        <v>434.97554190871369</v>
      </c>
      <c r="K3" s="78">
        <f>E3*Sisend!$K$28/Sisend!$G$28</f>
        <v>37349.341364888431</v>
      </c>
      <c r="L3" s="5" t="str">
        <f>A3</f>
        <v>Korraldajate ja osalejate majutuskulu</v>
      </c>
      <c r="M3" s="5"/>
      <c r="N3" s="5"/>
      <c r="O3" s="5"/>
      <c r="P3" s="3">
        <v>0</v>
      </c>
      <c r="Q3" s="3">
        <f>G3</f>
        <v>2174.8777095435685</v>
      </c>
      <c r="R3" s="3">
        <f>Q3*$R$14</f>
        <v>1109.18763186722</v>
      </c>
      <c r="S3" s="3">
        <f t="shared" si="2"/>
        <v>1109.18763186722</v>
      </c>
      <c r="T3" s="3">
        <f t="shared" si="3"/>
        <v>1674.8733241195023</v>
      </c>
      <c r="U3" s="3">
        <f t="shared" si="4"/>
        <v>2784.0609559867225</v>
      </c>
      <c r="V3" s="3">
        <f t="shared" si="5"/>
        <v>250.20717012448137</v>
      </c>
      <c r="W3" s="3">
        <v>0</v>
      </c>
      <c r="X3" s="3">
        <f>J3+K3</f>
        <v>37784.316906797147</v>
      </c>
      <c r="Y3" s="3">
        <f>X3*$Z$11</f>
        <v>7556.8633813594297</v>
      </c>
      <c r="Z3" s="3">
        <f t="shared" si="6"/>
        <v>7556.8633813594297</v>
      </c>
      <c r="AA3" s="3">
        <f t="shared" si="7"/>
        <v>8539.2556209361555</v>
      </c>
      <c r="AB3" s="3">
        <f t="shared" si="8"/>
        <v>16096.119002295585</v>
      </c>
      <c r="AC3" s="3">
        <v>0</v>
      </c>
      <c r="AE3" s="314"/>
      <c r="AF3" s="6"/>
    </row>
    <row r="4" spans="1:32" ht="15" customHeight="1" x14ac:dyDescent="0.35">
      <c r="A4" s="515" t="str">
        <f>Sisend!A35</f>
        <v>Reklaami- ja turunduskulud</v>
      </c>
      <c r="B4" s="516"/>
      <c r="C4" s="516"/>
      <c r="D4" s="517"/>
      <c r="E4" s="60">
        <f>Sisend!D35</f>
        <v>51153.167000000001</v>
      </c>
      <c r="F4" s="58">
        <f>E4*Sisend!$H$28/Sisend!$G$28</f>
        <v>4317.2423932780084</v>
      </c>
      <c r="G4" s="287">
        <f>Sisend!E35*Sisend!$H$28/Sisend!$G$28</f>
        <v>4317.2423932780084</v>
      </c>
      <c r="H4" s="287">
        <f>G4*$O$11/(1+$O$11)</f>
        <v>778.519120099313</v>
      </c>
      <c r="I4" s="288">
        <f t="shared" si="0"/>
        <v>0.2</v>
      </c>
      <c r="J4" s="78">
        <f t="shared" si="1"/>
        <v>863.44847865560178</v>
      </c>
      <c r="K4" s="78">
        <f>E4*Sisend!$K$28/Sisend!$G$28</f>
        <v>38492.688549527869</v>
      </c>
      <c r="L4" s="5" t="str">
        <f>A4</f>
        <v>Reklaami- ja turunduskulud</v>
      </c>
      <c r="M4" s="5"/>
      <c r="N4" s="5"/>
      <c r="O4" s="5"/>
      <c r="P4" s="3">
        <v>0</v>
      </c>
      <c r="Q4" s="3">
        <f>G4</f>
        <v>4317.2423932780084</v>
      </c>
      <c r="R4" s="3">
        <f>Q4*$R$14</f>
        <v>2201.7936205717842</v>
      </c>
      <c r="S4" s="3">
        <f t="shared" si="2"/>
        <v>2201.7936205717842</v>
      </c>
      <c r="T4" s="3">
        <f t="shared" si="3"/>
        <v>3324.7083670633942</v>
      </c>
      <c r="U4" s="3">
        <f t="shared" si="4"/>
        <v>5526.501987635178</v>
      </c>
      <c r="V4" s="3">
        <f t="shared" si="5"/>
        <v>778.519120099313</v>
      </c>
      <c r="W4" s="3">
        <v>0</v>
      </c>
      <c r="X4" s="3">
        <f>J4+K4</f>
        <v>39356.137028183468</v>
      </c>
      <c r="Y4" s="3">
        <f>X4*$Z$11</f>
        <v>7871.2274056366941</v>
      </c>
      <c r="Z4" s="3">
        <f t="shared" si="6"/>
        <v>7871.2274056366941</v>
      </c>
      <c r="AA4" s="3">
        <f t="shared" si="7"/>
        <v>8894.4869683694633</v>
      </c>
      <c r="AB4" s="3">
        <f t="shared" si="8"/>
        <v>16765.714374006158</v>
      </c>
      <c r="AC4" s="3">
        <v>0</v>
      </c>
      <c r="AE4" s="314"/>
      <c r="AF4" s="6"/>
    </row>
    <row r="5" spans="1:32" x14ac:dyDescent="0.35">
      <c r="A5" s="515" t="str">
        <f>Sisend!A36</f>
        <v>Rahvusvaheliste tele- ja veebiülekannete kulud</v>
      </c>
      <c r="B5" s="516"/>
      <c r="C5" s="516"/>
      <c r="D5" s="517"/>
      <c r="E5" s="60">
        <f>Sisend!D36</f>
        <v>45075.562999999995</v>
      </c>
      <c r="F5" s="58">
        <f>E5*Sisend!$H$28/Sisend!$G$28</f>
        <v>3804.3027029875511</v>
      </c>
      <c r="G5" s="287">
        <f>Sisend!E36*Sisend!$H$28/Sisend!$G$28</f>
        <v>1914.83798340249</v>
      </c>
      <c r="H5" s="287">
        <f>G5*$O$11/(1+$O$11)</f>
        <v>345.29865274471132</v>
      </c>
      <c r="I5" s="288">
        <f t="shared" si="0"/>
        <v>0.2</v>
      </c>
      <c r="J5" s="78">
        <f t="shared" si="1"/>
        <v>382.96759668049799</v>
      </c>
      <c r="K5" s="78">
        <f>E5*Sisend!$K$28/Sisend!$G$28</f>
        <v>33919.2998109701</v>
      </c>
      <c r="L5" s="5" t="str">
        <f>A5</f>
        <v>Rahvusvaheliste tele- ja veebiülekannete kulud</v>
      </c>
      <c r="M5" s="5"/>
      <c r="N5" s="5"/>
      <c r="O5" s="5"/>
      <c r="P5" s="3">
        <v>0</v>
      </c>
      <c r="Q5" s="3">
        <f>G5</f>
        <v>1914.83798340249</v>
      </c>
      <c r="R5" s="3">
        <f>Q5*$R$14</f>
        <v>976.5673715352699</v>
      </c>
      <c r="S5" s="3">
        <f t="shared" si="2"/>
        <v>976.5673715352699</v>
      </c>
      <c r="T5" s="3">
        <f t="shared" si="3"/>
        <v>1474.6167310182575</v>
      </c>
      <c r="U5" s="3">
        <f t="shared" si="4"/>
        <v>2451.1841025535273</v>
      </c>
      <c r="V5" s="3">
        <f t="shared" si="5"/>
        <v>345.29865274471132</v>
      </c>
      <c r="W5" s="3">
        <v>0</v>
      </c>
      <c r="X5" s="3">
        <f>J5+K5</f>
        <v>34302.267407650601</v>
      </c>
      <c r="Y5" s="3">
        <f>X5*$Z$11</f>
        <v>6860.4534815301204</v>
      </c>
      <c r="Z5" s="3">
        <f t="shared" si="6"/>
        <v>6860.4534815301204</v>
      </c>
      <c r="AA5" s="3">
        <f t="shared" si="7"/>
        <v>7752.312434129035</v>
      </c>
      <c r="AB5" s="3">
        <f t="shared" si="8"/>
        <v>14612.765915659154</v>
      </c>
      <c r="AC5" s="3">
        <v>0</v>
      </c>
      <c r="AE5" s="314"/>
      <c r="AF5" s="6"/>
    </row>
    <row r="6" spans="1:32" x14ac:dyDescent="0.35">
      <c r="A6" s="515" t="str">
        <f>Sisend!A37</f>
        <v>Tööjõukulud</v>
      </c>
      <c r="B6" s="516"/>
      <c r="C6" s="516"/>
      <c r="D6" s="517"/>
      <c r="E6" s="60">
        <f>Sisend!D37</f>
        <v>163588.84100000001</v>
      </c>
      <c r="F6" s="58">
        <f>E6*Sisend!$H$28/Sisend!$G$28</f>
        <v>13806.626663651454</v>
      </c>
      <c r="G6" s="287">
        <f>Sisend!E37*Sisend!$H$28/Sisend!$G$28</f>
        <v>7352.0322572614105</v>
      </c>
      <c r="H6" s="287">
        <f>G6*O14</f>
        <v>2154.145451377593</v>
      </c>
      <c r="I6" s="288">
        <f t="shared" si="0"/>
        <v>0.2</v>
      </c>
      <c r="J6" s="78">
        <f t="shared" si="1"/>
        <v>1470.4064514522822</v>
      </c>
      <c r="K6" s="78">
        <f>E6*Sisend!$K$28/Sisend!$G$28</f>
        <v>123100.38021284656</v>
      </c>
      <c r="L6" s="5" t="s">
        <v>71</v>
      </c>
      <c r="M6" s="5"/>
      <c r="N6" s="5"/>
      <c r="O6" s="5"/>
      <c r="P6" s="3">
        <f>G6</f>
        <v>7352.0322572614105</v>
      </c>
      <c r="Q6" s="3">
        <v>0</v>
      </c>
      <c r="R6" s="3">
        <v>0</v>
      </c>
      <c r="S6" s="3">
        <f t="shared" si="2"/>
        <v>7352.0322572614105</v>
      </c>
      <c r="T6" s="3">
        <f t="shared" si="3"/>
        <v>11101.568708464731</v>
      </c>
      <c r="U6" s="3">
        <f t="shared" si="4"/>
        <v>18453.600965726142</v>
      </c>
      <c r="V6" s="3">
        <f t="shared" si="5"/>
        <v>2154.145451377593</v>
      </c>
      <c r="W6" s="3">
        <f>J6+K6</f>
        <v>124570.78666429884</v>
      </c>
      <c r="X6" s="3">
        <v>0</v>
      </c>
      <c r="Y6" s="3"/>
      <c r="Z6" s="3">
        <f t="shared" si="6"/>
        <v>124570.78666429884</v>
      </c>
      <c r="AA6" s="3">
        <f t="shared" si="7"/>
        <v>140764.98893065768</v>
      </c>
      <c r="AB6" s="3">
        <f t="shared" si="8"/>
        <v>265335.77559495653</v>
      </c>
      <c r="AC6" s="3">
        <f>W6*V14</f>
        <v>11086.800013122596</v>
      </c>
      <c r="AE6" s="314"/>
      <c r="AF6" s="6"/>
    </row>
    <row r="7" spans="1:32" ht="15" customHeight="1" x14ac:dyDescent="0.35">
      <c r="A7" s="515" t="str">
        <f>Sisend!A38</f>
        <v>Muud kulud</v>
      </c>
      <c r="B7" s="516"/>
      <c r="C7" s="516"/>
      <c r="D7" s="517"/>
      <c r="E7" s="60">
        <f>Sisend!D38</f>
        <v>167640.57699999999</v>
      </c>
      <c r="F7" s="58">
        <f>E7*Sisend!$H$28/Sisend!$G$28</f>
        <v>14148.586457178422</v>
      </c>
      <c r="G7" s="287">
        <f>Sisend!E38*Sisend!$H$28/Sisend!$G$28</f>
        <v>6604.426104647303</v>
      </c>
      <c r="H7" s="287">
        <f>G7*$O$11/(1+$O$11)</f>
        <v>1190.9620844445956</v>
      </c>
      <c r="I7" s="288">
        <f t="shared" si="0"/>
        <v>0.2</v>
      </c>
      <c r="J7" s="78">
        <f t="shared" si="1"/>
        <v>1320.8852209294607</v>
      </c>
      <c r="K7" s="78">
        <f>E7*Sisend!$K$28/Sisend!$G$28</f>
        <v>126149.30603855173</v>
      </c>
      <c r="L7" s="5" t="str">
        <f>A7</f>
        <v>Muud kulud</v>
      </c>
      <c r="M7" s="5"/>
      <c r="N7" s="5"/>
      <c r="O7" s="5"/>
      <c r="P7" s="3">
        <v>0</v>
      </c>
      <c r="Q7" s="3">
        <f>G7</f>
        <v>6604.426104647303</v>
      </c>
      <c r="R7" s="3">
        <f>Q7*$R$14</f>
        <v>3368.2573133701244</v>
      </c>
      <c r="S7" s="3">
        <f t="shared" si="2"/>
        <v>3368.2573133701244</v>
      </c>
      <c r="T7" s="3">
        <f t="shared" si="3"/>
        <v>5086.0685431888878</v>
      </c>
      <c r="U7" s="3">
        <f t="shared" si="4"/>
        <v>8454.3258565590113</v>
      </c>
      <c r="V7" s="3">
        <f t="shared" si="5"/>
        <v>1190.9620844445956</v>
      </c>
      <c r="W7" s="3">
        <v>0</v>
      </c>
      <c r="X7" s="3">
        <f>J7+K7</f>
        <v>127470.19125948119</v>
      </c>
      <c r="Y7" s="3">
        <f>X7*$Z$11</f>
        <v>25494.03825189624</v>
      </c>
      <c r="Z7" s="3">
        <f t="shared" si="6"/>
        <v>25494.03825189624</v>
      </c>
      <c r="AA7" s="3">
        <f t="shared" si="7"/>
        <v>28808.263224642749</v>
      </c>
      <c r="AB7" s="3">
        <f t="shared" si="8"/>
        <v>54302.301476538989</v>
      </c>
      <c r="AC7" s="3">
        <v>0</v>
      </c>
      <c r="AF7" s="6"/>
    </row>
    <row r="8" spans="1:32" x14ac:dyDescent="0.35">
      <c r="A8" s="526" t="s">
        <v>304</v>
      </c>
      <c r="B8" s="527"/>
      <c r="C8" s="527"/>
      <c r="D8" s="528"/>
      <c r="E8" s="50">
        <f>Sisend!D31</f>
        <v>506467</v>
      </c>
      <c r="F8" s="61">
        <f>E8*Sisend!$H$28/Sisend!$G$28</f>
        <v>42744.97419087137</v>
      </c>
      <c r="G8" s="289">
        <f>Sisend!E31*Sisend!$H$28/Sisend!$G$28</f>
        <v>23639.975103734439</v>
      </c>
      <c r="H8" s="83">
        <f>IF((E14=1),SUM(H2:H7),G8*Parameetrid!B16)</f>
        <v>5094.7755585947889</v>
      </c>
      <c r="I8" s="292">
        <f t="shared" si="0"/>
        <v>0.2</v>
      </c>
      <c r="J8" s="290">
        <f>IF((E14=1),SUM(J2:J7),G8*I8)</f>
        <v>4727.9950207468883</v>
      </c>
      <c r="K8" s="290">
        <f>IF((E14=1),SUM(K2:K7),(E8*Sisend!K28/Sisend!G28))</f>
        <v>381115.72821314726</v>
      </c>
      <c r="L8" s="10" t="str">
        <f>A8</f>
        <v>KOKKU LÄBI KORRALDAJA</v>
      </c>
      <c r="M8" s="10"/>
      <c r="N8" s="10"/>
      <c r="O8" s="10"/>
      <c r="P8" s="4">
        <f>IF((E14=1),SUM(P2:P7),G8*0.4)</f>
        <v>7352.0322572614105</v>
      </c>
      <c r="Q8" s="4">
        <f>IF((E14=2),G8*0.6,SUM(Q2:Q7))</f>
        <v>16287.94284647303</v>
      </c>
      <c r="R8" s="4">
        <f>IF((E14=2),Q8*R14,SUM(R2:R7))</f>
        <v>8306.8508517012451</v>
      </c>
      <c r="S8" s="4">
        <f>IF((E14=2),(P8+R8),SUM(S2:S7))</f>
        <v>15658.883108962656</v>
      </c>
      <c r="T8" s="4">
        <f>IF((E14=2),(S8*R15),SUM(T2:T7))</f>
        <v>23644.913494533612</v>
      </c>
      <c r="U8" s="4">
        <f>IF((E14=1),SUM(U2:U7),(S8+T8))</f>
        <v>39303.796603496259</v>
      </c>
      <c r="V8" s="4">
        <f t="shared" si="5"/>
        <v>5094.7755585947889</v>
      </c>
      <c r="W8" s="4">
        <f>IF((E14=1),SUM(W2:W7),(J8+K8)*0.4)</f>
        <v>124570.78666429884</v>
      </c>
      <c r="X8" s="4">
        <f>IF((E14=1),SUM(X2:X7),(J8+K8)*0.6)</f>
        <v>261272.93656959527</v>
      </c>
      <c r="Y8" s="4">
        <f>IF((E14=1),SUM(Y2:Y7),(X8*Z11))</f>
        <v>52254.587313919059</v>
      </c>
      <c r="Z8" s="4">
        <f>IF((E14=1),SUM(Z2:Z7),W8+Y8)</f>
        <v>176825.37397821789</v>
      </c>
      <c r="AA8" s="4">
        <f>IF((E14=1),SUM(AA2:AA7),Z8*Z12)</f>
        <v>199812.67259538622</v>
      </c>
      <c r="AB8" s="4">
        <f>IF((E14=1),SUM(AB2:AB7),Z8+AA8)</f>
        <v>376638.04657360411</v>
      </c>
      <c r="AC8" s="4">
        <f>IF((E14=1),SUM(AC2:AC7),W8*V14)</f>
        <v>11086.800013122596</v>
      </c>
      <c r="AF8" s="6"/>
    </row>
    <row r="9" spans="1:32" ht="29.15" customHeight="1" x14ac:dyDescent="0.35">
      <c r="A9" s="32" t="s">
        <v>305</v>
      </c>
      <c r="B9" s="19"/>
      <c r="C9" s="19"/>
      <c r="D9" s="19"/>
      <c r="E9" s="23" t="s">
        <v>306</v>
      </c>
      <c r="F9" s="24" t="s">
        <v>307</v>
      </c>
      <c r="G9" s="24" t="s">
        <v>308</v>
      </c>
      <c r="H9" s="10" t="s">
        <v>309</v>
      </c>
      <c r="I9" s="54" t="s">
        <v>310</v>
      </c>
      <c r="J9" s="6"/>
      <c r="K9" s="6"/>
      <c r="L9" s="6"/>
      <c r="M9" s="6"/>
      <c r="N9" s="33"/>
      <c r="O9" s="33"/>
      <c r="Q9" s="291" t="s">
        <v>311</v>
      </c>
      <c r="R9" s="8" t="s">
        <v>312</v>
      </c>
      <c r="S9" s="8" t="s">
        <v>313</v>
      </c>
      <c r="T9" s="8" t="s">
        <v>314</v>
      </c>
      <c r="U9" s="36"/>
      <c r="V9" s="36"/>
      <c r="W9" s="36"/>
      <c r="X9" s="36"/>
      <c r="Y9" s="36"/>
      <c r="Z9" s="36"/>
      <c r="AA9" s="36"/>
      <c r="AB9" s="36"/>
      <c r="AC9" s="36"/>
      <c r="AF9" s="6"/>
    </row>
    <row r="10" spans="1:32" x14ac:dyDescent="0.35">
      <c r="A10" s="529" t="s">
        <v>45</v>
      </c>
      <c r="B10" s="529"/>
      <c r="C10" s="529"/>
      <c r="D10" s="530"/>
      <c r="E10" s="20">
        <f>E12+E13</f>
        <v>3260.7494161997593</v>
      </c>
      <c r="F10" s="20">
        <f>F12+F13</f>
        <v>0</v>
      </c>
      <c r="G10" s="20">
        <f>G12+G13</f>
        <v>2958.4994161997593</v>
      </c>
      <c r="H10" s="20">
        <f>H12+H13</f>
        <v>302.25</v>
      </c>
      <c r="I10" s="22">
        <f>Sisend!B6</f>
        <v>2</v>
      </c>
      <c r="J10" s="6"/>
      <c r="K10" s="6"/>
      <c r="L10" s="6"/>
      <c r="M10" s="6"/>
      <c r="N10" s="6"/>
      <c r="O10" s="6"/>
      <c r="P10" s="10" t="s">
        <v>315</v>
      </c>
      <c r="Q10" s="309">
        <f>IF(Sisend!D31&gt;Sisend!E31,(Sisend!D31-Sisend!E31)*Sisend!I28/Sisend!G28,0)</f>
        <v>207262.00091286306</v>
      </c>
      <c r="R10" s="309">
        <f>Q10*Sisend!K28/Sisend!I28</f>
        <v>170340.85942109852</v>
      </c>
      <c r="S10" s="310">
        <f>Sisend!J28*(1-maj_arvutused!I8)</f>
        <v>62892.5247903821</v>
      </c>
      <c r="T10" s="309">
        <f>R10+S10</f>
        <v>233233.38421148062</v>
      </c>
      <c r="U10" s="6"/>
      <c r="V10" s="6"/>
      <c r="W10" s="496" t="s">
        <v>316</v>
      </c>
      <c r="X10" s="496"/>
      <c r="Y10" s="496"/>
      <c r="Z10" s="329">
        <f>'KOV-id'!F6</f>
        <v>3</v>
      </c>
      <c r="AA10" s="2" t="str">
        <f>IF((Z10=1),"Tallinn",(IF((Z10=2),"Tartu","maapiirkond")))</f>
        <v>maapiirkond</v>
      </c>
      <c r="AB10" s="6"/>
      <c r="AC10" s="6"/>
      <c r="AF10" s="6"/>
    </row>
    <row r="11" spans="1:32" x14ac:dyDescent="0.35">
      <c r="A11" s="531" t="s">
        <v>317</v>
      </c>
      <c r="B11" s="532"/>
      <c r="C11" s="532"/>
      <c r="D11" s="532"/>
      <c r="E11" s="77">
        <f>Sisend!B5</f>
        <v>5000</v>
      </c>
      <c r="F11" s="25">
        <f>E11-G11-H11</f>
        <v>832.79296597433904</v>
      </c>
      <c r="G11" s="25">
        <f>E11*Sisend!C16</f>
        <v>3842.207034025661</v>
      </c>
      <c r="H11" s="25">
        <f>E11*Sisend!C15</f>
        <v>325</v>
      </c>
      <c r="I11" s="6"/>
      <c r="J11" s="6"/>
      <c r="K11" s="6"/>
      <c r="L11" s="5" t="s">
        <v>190</v>
      </c>
      <c r="M11" s="5"/>
      <c r="N11" s="5"/>
      <c r="O11" s="327">
        <f>Parameetrid!B11</f>
        <v>0.22</v>
      </c>
      <c r="P11" s="496" t="s">
        <v>318</v>
      </c>
      <c r="Q11" s="496"/>
      <c r="R11" s="294">
        <v>0.3</v>
      </c>
      <c r="S11" s="6"/>
      <c r="T11" s="6"/>
      <c r="U11" s="6"/>
      <c r="V11" s="6"/>
      <c r="W11" s="496" t="s">
        <v>319</v>
      </c>
      <c r="X11" s="496"/>
      <c r="Y11" s="496"/>
      <c r="Z11" s="329">
        <f>IF(($Z$10=1),Parameetrid!B7,(IF(($Z$10=2),Parameetrid!B8,Parameetrid!B9)))</f>
        <v>0.2</v>
      </c>
      <c r="AA11" s="6"/>
      <c r="AB11" s="6"/>
      <c r="AC11" s="6"/>
      <c r="AF11" s="6"/>
    </row>
    <row r="12" spans="1:32" x14ac:dyDescent="0.35">
      <c r="A12" s="521" t="s">
        <v>320</v>
      </c>
      <c r="B12" s="522"/>
      <c r="C12" s="522"/>
      <c r="D12" s="522"/>
      <c r="E12" s="21">
        <f>G12+H12</f>
        <v>2535.4962907556533</v>
      </c>
      <c r="F12" s="21">
        <v>0</v>
      </c>
      <c r="G12" s="21">
        <f>G11*Parameetrid!I16</f>
        <v>2343.7462907556533</v>
      </c>
      <c r="H12" s="25">
        <f>H11*Parameetrid!I17</f>
        <v>191.75</v>
      </c>
      <c r="I12" s="6"/>
      <c r="J12" s="6"/>
      <c r="K12" s="6"/>
      <c r="L12" s="5" t="s">
        <v>197</v>
      </c>
      <c r="M12" s="5"/>
      <c r="N12" s="5"/>
      <c r="O12" s="327">
        <f>Parameetrid!B12</f>
        <v>0.13</v>
      </c>
      <c r="P12" s="496" t="s">
        <v>321</v>
      </c>
      <c r="Q12" s="496"/>
      <c r="R12" s="294">
        <v>0.05</v>
      </c>
      <c r="S12" s="6"/>
      <c r="T12" s="6"/>
      <c r="U12" s="6"/>
      <c r="V12" s="6"/>
      <c r="W12" s="496" t="s">
        <v>322</v>
      </c>
      <c r="X12" s="496"/>
      <c r="Y12" s="496"/>
      <c r="Z12" s="329">
        <f>IF(($Z$10=1),Parameetrid!C7,(IF(($Z$10=2),Parameetrid!C8,Parameetrid!C9)))</f>
        <v>1.1299999999999999</v>
      </c>
      <c r="AA12" s="6"/>
      <c r="AB12" s="6"/>
      <c r="AC12" s="6"/>
      <c r="AF12" s="6"/>
    </row>
    <row r="13" spans="1:32" x14ac:dyDescent="0.35">
      <c r="A13" s="523" t="s">
        <v>323</v>
      </c>
      <c r="B13" s="524"/>
      <c r="C13" s="524"/>
      <c r="D13" s="524"/>
      <c r="E13" s="192">
        <f>G13+H13</f>
        <v>725.25312544410576</v>
      </c>
      <c r="F13" s="21">
        <v>0</v>
      </c>
      <c r="G13" s="21">
        <f>Parameetrid!I19*G11</f>
        <v>614.75312544410576</v>
      </c>
      <c r="H13" s="25">
        <f>H11*Parameetrid!I20</f>
        <v>110.50000000000001</v>
      </c>
      <c r="I13" s="6"/>
      <c r="J13" s="6"/>
      <c r="K13" s="6"/>
      <c r="L13" s="5" t="s">
        <v>200</v>
      </c>
      <c r="M13" s="5"/>
      <c r="N13" s="5"/>
      <c r="O13" s="327">
        <f>Parameetrid!B13</f>
        <v>0</v>
      </c>
      <c r="P13" s="535"/>
      <c r="Q13" s="535"/>
      <c r="R13" s="343"/>
      <c r="S13" s="6"/>
      <c r="T13" s="6"/>
      <c r="U13" s="6"/>
      <c r="V13" s="6"/>
      <c r="W13" s="6"/>
      <c r="X13" s="6"/>
      <c r="Y13" s="6"/>
      <c r="Z13" s="6"/>
      <c r="AA13" s="6"/>
      <c r="AB13" s="6"/>
      <c r="AC13" s="6"/>
      <c r="AF13" s="6"/>
    </row>
    <row r="14" spans="1:32" x14ac:dyDescent="0.35">
      <c r="A14" s="485" t="s">
        <v>324</v>
      </c>
      <c r="B14" s="485"/>
      <c r="C14" s="485"/>
      <c r="D14" s="485"/>
      <c r="E14" s="329">
        <f>IF((Sisend!D31=SUM(Sisend!D33:D38)),1,2)</f>
        <v>1</v>
      </c>
      <c r="F14" s="6"/>
      <c r="G14" s="6"/>
      <c r="H14" s="6"/>
      <c r="I14" s="6"/>
      <c r="J14" s="6"/>
      <c r="K14" s="6"/>
      <c r="L14" s="5" t="s">
        <v>325</v>
      </c>
      <c r="M14" s="5"/>
      <c r="N14" s="5"/>
      <c r="O14" s="327">
        <f>Parameetrid!B14</f>
        <v>0.29299999999999998</v>
      </c>
      <c r="P14" s="5" t="s">
        <v>326</v>
      </c>
      <c r="Q14" s="5"/>
      <c r="R14" s="7">
        <f>Parameetrid!B5</f>
        <v>0.51</v>
      </c>
      <c r="S14" s="5" t="s">
        <v>327</v>
      </c>
      <c r="T14" s="5"/>
      <c r="U14" s="5"/>
      <c r="V14" s="328">
        <f>Parameetrid!B15</f>
        <v>8.8999999999999996E-2</v>
      </c>
      <c r="W14" s="6"/>
      <c r="X14" s="6"/>
      <c r="Y14" s="6"/>
      <c r="Z14" s="6"/>
      <c r="AA14" s="6"/>
      <c r="AB14" s="6"/>
      <c r="AC14" s="6"/>
      <c r="AF14" s="6"/>
    </row>
    <row r="15" spans="1:32" ht="18.5" x14ac:dyDescent="0.45">
      <c r="A15" s="501"/>
      <c r="B15" s="502"/>
      <c r="C15" s="502"/>
      <c r="D15" s="502"/>
      <c r="E15" s="502"/>
      <c r="F15" s="502"/>
      <c r="G15" s="502"/>
      <c r="H15" s="502"/>
      <c r="I15" s="503"/>
      <c r="J15" s="503"/>
      <c r="K15" s="504"/>
      <c r="L15" s="342"/>
      <c r="M15" s="64"/>
      <c r="N15" s="64"/>
      <c r="O15" s="64"/>
      <c r="P15" s="5" t="s">
        <v>328</v>
      </c>
      <c r="Q15" s="5"/>
      <c r="R15" s="7">
        <f>Parameetrid!C5</f>
        <v>1.51</v>
      </c>
      <c r="S15" s="146"/>
      <c r="T15" s="146"/>
      <c r="U15" s="146"/>
      <c r="V15" s="146"/>
      <c r="W15" s="146"/>
      <c r="X15" s="145"/>
      <c r="Y15" s="145"/>
      <c r="Z15" s="145"/>
      <c r="AA15" s="145"/>
      <c r="AB15" s="145"/>
      <c r="AC15" s="145"/>
      <c r="AF15" s="6"/>
    </row>
    <row r="16" spans="1:32" ht="59" x14ac:dyDescent="0.45">
      <c r="A16" s="525" t="s">
        <v>329</v>
      </c>
      <c r="B16" s="525"/>
      <c r="C16" s="525"/>
      <c r="D16" s="525"/>
      <c r="E16" s="30" t="s">
        <v>330</v>
      </c>
      <c r="F16" s="65" t="s">
        <v>331</v>
      </c>
      <c r="G16" s="65" t="s">
        <v>332</v>
      </c>
      <c r="H16" s="30" t="s">
        <v>333</v>
      </c>
      <c r="I16" s="311"/>
      <c r="J16" s="6"/>
      <c r="K16" s="6"/>
      <c r="L16" s="534" t="s">
        <v>329</v>
      </c>
      <c r="M16" s="534"/>
      <c r="N16" s="534"/>
      <c r="O16" s="534"/>
      <c r="P16" s="8" t="str">
        <f t="shared" ref="P16:AC16" si="9">P1</f>
        <v>Otsene tulu Eestile</v>
      </c>
      <c r="Q16" s="8" t="str">
        <f t="shared" si="9"/>
        <v>Eestisse jõudev kaupade, teenuste ja investeeringute süst</v>
      </c>
      <c r="R16" s="8" t="str">
        <f t="shared" si="9"/>
        <v>Kaudne tulu Eestile</v>
      </c>
      <c r="S16" s="8" t="str">
        <f t="shared" si="9"/>
        <v>Esmane tulu Eestile</v>
      </c>
      <c r="T16" s="8" t="str">
        <f t="shared" si="9"/>
        <v>Esilekutsutud tulu Eestile</v>
      </c>
      <c r="U16" s="8" t="str">
        <f t="shared" si="9"/>
        <v>Tulu Eestile</v>
      </c>
      <c r="V16" s="8" t="str">
        <f t="shared" si="9"/>
        <v>Esmane maksutulu Eestile</v>
      </c>
      <c r="W16" s="9" t="str">
        <f t="shared" si="9"/>
        <v>Otsene kohalik tulu</v>
      </c>
      <c r="X16" s="9" t="str">
        <f t="shared" si="9"/>
        <v>Kohalik kaupade, teenuste ja investeeringute süst</v>
      </c>
      <c r="Y16" s="9" t="str">
        <f t="shared" si="9"/>
        <v>Kaudne kohalik tulu</v>
      </c>
      <c r="Z16" s="9" t="str">
        <f t="shared" si="9"/>
        <v>Esmane kohalik tulu</v>
      </c>
      <c r="AA16" s="9" t="str">
        <f t="shared" si="9"/>
        <v>Esilekutsutud kohalik tulu</v>
      </c>
      <c r="AB16" s="9" t="str">
        <f t="shared" si="9"/>
        <v>Kohalik tulu</v>
      </c>
      <c r="AC16" s="9" t="str">
        <f t="shared" si="9"/>
        <v>Otsene kohalik maksutulu</v>
      </c>
      <c r="AF16" s="6"/>
    </row>
    <row r="17" spans="1:32" ht="16.5" customHeight="1" x14ac:dyDescent="0.35">
      <c r="A17" s="479" t="s">
        <v>179</v>
      </c>
      <c r="B17" s="480"/>
      <c r="C17" s="480"/>
      <c r="D17" s="481"/>
      <c r="E17" s="79">
        <f>$H$10*Parameetrid!I5*Sisend!$G$15</f>
        <v>29057.166450000001</v>
      </c>
      <c r="F17" s="63">
        <f>Sisend!$H$15/Sisend!$G$15</f>
        <v>0.82212735681252225</v>
      </c>
      <c r="G17" s="78">
        <f t="shared" ref="G17:G23" si="10">E17*F17</f>
        <v>23888.691450000002</v>
      </c>
      <c r="H17" s="67">
        <f>Parameetrid!J5*Sisend!$H$16*$G$10</f>
        <v>126327.92507172971</v>
      </c>
      <c r="I17" s="312"/>
      <c r="J17" s="6"/>
      <c r="K17" s="6"/>
      <c r="L17" s="5" t="str">
        <f t="shared" ref="L17:L24" si="11">A17</f>
        <v>Toitlustus (restoranid, kohvikud, jms)</v>
      </c>
      <c r="M17" s="5"/>
      <c r="N17" s="5"/>
      <c r="O17" s="5"/>
      <c r="P17" s="59">
        <v>0</v>
      </c>
      <c r="Q17" s="59">
        <f t="shared" ref="Q17:Q23" si="12">E17</f>
        <v>29057.166450000001</v>
      </c>
      <c r="R17" s="59">
        <f t="shared" ref="R17:R23" si="13">Q17*$R$14</f>
        <v>14819.154889500001</v>
      </c>
      <c r="S17" s="59">
        <f t="shared" ref="S17:S23" si="14">P17+R17</f>
        <v>14819.154889500001</v>
      </c>
      <c r="T17" s="59">
        <f t="shared" ref="T17:T23" si="15">S17*$R$15</f>
        <v>22376.923883145002</v>
      </c>
      <c r="U17" s="59">
        <f t="shared" ref="U17:U23" si="16">S17+T17</f>
        <v>37196.078772645007</v>
      </c>
      <c r="V17" s="286">
        <f>S17*$O$11/(1+$O$11)+R12*U17</f>
        <v>4532.1105580502835</v>
      </c>
      <c r="W17" s="59">
        <v>0</v>
      </c>
      <c r="X17" s="59">
        <f t="shared" ref="X17:X23" si="17">G17+H17</f>
        <v>150216.61652172971</v>
      </c>
      <c r="Y17" s="59">
        <f t="shared" ref="Y17:Y23" si="18">X17*$Z$11</f>
        <v>30043.323304345944</v>
      </c>
      <c r="Z17" s="59">
        <f t="shared" ref="Z17:Z23" si="19">W17+Y17</f>
        <v>30043.323304345944</v>
      </c>
      <c r="AA17" s="59">
        <f t="shared" ref="AA17:AA23" si="20">Z17*$Z$12</f>
        <v>33948.955333910912</v>
      </c>
      <c r="AB17" s="59">
        <f t="shared" ref="AB17:AB23" si="21">Z17+AA17</f>
        <v>63992.278638256859</v>
      </c>
      <c r="AC17" s="81">
        <v>0</v>
      </c>
      <c r="AF17" s="6"/>
    </row>
    <row r="18" spans="1:32" x14ac:dyDescent="0.35">
      <c r="A18" s="479" t="s">
        <v>181</v>
      </c>
      <c r="B18" s="480"/>
      <c r="C18" s="480"/>
      <c r="D18" s="481"/>
      <c r="E18" s="79">
        <f>$H$10*Parameetrid!I6*Sisend!$G$15</f>
        <v>29057.166450000001</v>
      </c>
      <c r="F18" s="63">
        <f>Sisend!$H$15/Sisend!$G$15</f>
        <v>0.82212735681252225</v>
      </c>
      <c r="G18" s="78">
        <f t="shared" si="10"/>
        <v>23888.691450000002</v>
      </c>
      <c r="H18" s="67">
        <f>Parameetrid!J6*Sisend!$H$16*$G$10</f>
        <v>126327.92507172971</v>
      </c>
      <c r="I18" s="312"/>
      <c r="J18" s="6"/>
      <c r="K18" s="6"/>
      <c r="L18" s="5" t="str">
        <f t="shared" si="11"/>
        <v>Toidu ja jookide ost</v>
      </c>
      <c r="M18" s="5"/>
      <c r="N18" s="5"/>
      <c r="O18" s="5"/>
      <c r="P18" s="59">
        <v>0</v>
      </c>
      <c r="Q18" s="59">
        <f t="shared" si="12"/>
        <v>29057.166450000001</v>
      </c>
      <c r="R18" s="59">
        <f t="shared" si="13"/>
        <v>14819.154889500001</v>
      </c>
      <c r="S18" s="59">
        <f t="shared" si="14"/>
        <v>14819.154889500001</v>
      </c>
      <c r="T18" s="59">
        <f t="shared" si="15"/>
        <v>22376.923883145002</v>
      </c>
      <c r="U18" s="59">
        <f t="shared" si="16"/>
        <v>37196.078772645007</v>
      </c>
      <c r="V18" s="286">
        <f>S18*$O$11/(1+$O$11)+R12*U18</f>
        <v>4532.1105580502835</v>
      </c>
      <c r="W18" s="59">
        <v>0</v>
      </c>
      <c r="X18" s="59">
        <f t="shared" si="17"/>
        <v>150216.61652172971</v>
      </c>
      <c r="Y18" s="59">
        <f t="shared" si="18"/>
        <v>30043.323304345944</v>
      </c>
      <c r="Z18" s="59">
        <f t="shared" si="19"/>
        <v>30043.323304345944</v>
      </c>
      <c r="AA18" s="59">
        <f t="shared" si="20"/>
        <v>33948.955333910912</v>
      </c>
      <c r="AB18" s="59">
        <f t="shared" si="21"/>
        <v>63992.278638256859</v>
      </c>
      <c r="AC18" s="81">
        <v>0</v>
      </c>
      <c r="AF18" s="6"/>
    </row>
    <row r="19" spans="1:32" x14ac:dyDescent="0.35">
      <c r="A19" s="479" t="s">
        <v>183</v>
      </c>
      <c r="B19" s="480"/>
      <c r="C19" s="480"/>
      <c r="D19" s="481"/>
      <c r="E19" s="79">
        <f>$H$10*Parameetrid!I7*Sisend!$G$15</f>
        <v>18181.969649999999</v>
      </c>
      <c r="F19" s="63">
        <f>Sisend!$H$15/Sisend!$G$15</f>
        <v>0.82212735681252225</v>
      </c>
      <c r="G19" s="78">
        <f t="shared" si="10"/>
        <v>14947.89465</v>
      </c>
      <c r="H19" s="67">
        <f>Parameetrid!J7*Sisend!$H$16*$G$10</f>
        <v>115048.64604746812</v>
      </c>
      <c r="I19" s="312"/>
      <c r="J19" s="6"/>
      <c r="K19" s="6"/>
      <c r="L19" s="5" t="str">
        <f t="shared" si="11"/>
        <v>Muude kaupade ost</v>
      </c>
      <c r="M19" s="5"/>
      <c r="N19" s="5"/>
      <c r="O19" s="5"/>
      <c r="P19" s="59">
        <v>0</v>
      </c>
      <c r="Q19" s="59">
        <f t="shared" si="12"/>
        <v>18181.969649999999</v>
      </c>
      <c r="R19" s="59">
        <f t="shared" si="13"/>
        <v>9272.8045215000002</v>
      </c>
      <c r="S19" s="59">
        <f t="shared" si="14"/>
        <v>9272.8045215000002</v>
      </c>
      <c r="T19" s="59">
        <f t="shared" si="15"/>
        <v>14001.934827465</v>
      </c>
      <c r="U19" s="59">
        <f t="shared" si="16"/>
        <v>23274.739348964998</v>
      </c>
      <c r="V19" s="286">
        <f>S19*$O$11/(1+$O$11)</f>
        <v>1672.145077647541</v>
      </c>
      <c r="W19" s="59">
        <v>0</v>
      </c>
      <c r="X19" s="59">
        <f t="shared" si="17"/>
        <v>129996.54069746812</v>
      </c>
      <c r="Y19" s="59">
        <f t="shared" si="18"/>
        <v>25999.308139493627</v>
      </c>
      <c r="Z19" s="59">
        <f t="shared" si="19"/>
        <v>25999.308139493627</v>
      </c>
      <c r="AA19" s="59">
        <f t="shared" si="20"/>
        <v>29379.218197627797</v>
      </c>
      <c r="AB19" s="59">
        <f t="shared" si="21"/>
        <v>55378.526337121424</v>
      </c>
      <c r="AC19" s="81">
        <v>0</v>
      </c>
      <c r="AF19" s="6"/>
    </row>
    <row r="20" spans="1:32" x14ac:dyDescent="0.35">
      <c r="A20" s="479" t="s">
        <v>185</v>
      </c>
      <c r="B20" s="480"/>
      <c r="C20" s="480"/>
      <c r="D20" s="481"/>
      <c r="E20" s="79">
        <f>$H$10*Parameetrid!I8*Sisend!$G$15</f>
        <v>90400.073400000008</v>
      </c>
      <c r="F20" s="63">
        <f>Sisend!$H$15/Sisend!$G$15</f>
        <v>0.82212735681252225</v>
      </c>
      <c r="G20" s="78">
        <f t="shared" si="10"/>
        <v>74320.373400000011</v>
      </c>
      <c r="H20" s="67">
        <f>Parameetrid!J8*Sisend!$H$16*$G$10</f>
        <v>230999.6344168772</v>
      </c>
      <c r="I20" s="312"/>
      <c r="J20" s="6"/>
      <c r="K20" s="6"/>
      <c r="L20" s="5" t="str">
        <f t="shared" si="11"/>
        <v>Majutus (hotellid, motellid, jms)</v>
      </c>
      <c r="M20" s="5"/>
      <c r="N20" s="5"/>
      <c r="O20" s="5"/>
      <c r="P20" s="59">
        <v>0</v>
      </c>
      <c r="Q20" s="59">
        <f t="shared" si="12"/>
        <v>90400.073400000008</v>
      </c>
      <c r="R20" s="59">
        <f t="shared" si="13"/>
        <v>46104.037434000005</v>
      </c>
      <c r="S20" s="59">
        <f t="shared" si="14"/>
        <v>46104.037434000005</v>
      </c>
      <c r="T20" s="59">
        <f t="shared" si="15"/>
        <v>69617.096525340006</v>
      </c>
      <c r="U20" s="59">
        <f t="shared" si="16"/>
        <v>115721.13395934002</v>
      </c>
      <c r="V20" s="286">
        <f>S20*$O$12/(1+$O$12)</f>
        <v>5304.0043065663731</v>
      </c>
      <c r="W20" s="59">
        <v>0</v>
      </c>
      <c r="X20" s="59">
        <f t="shared" si="17"/>
        <v>305320.00781687722</v>
      </c>
      <c r="Y20" s="59">
        <f t="shared" si="18"/>
        <v>61064.001563375445</v>
      </c>
      <c r="Z20" s="59">
        <f t="shared" si="19"/>
        <v>61064.001563375445</v>
      </c>
      <c r="AA20" s="59">
        <f t="shared" si="20"/>
        <v>69002.321766614245</v>
      </c>
      <c r="AB20" s="59">
        <f t="shared" si="21"/>
        <v>130066.32332998968</v>
      </c>
      <c r="AC20" s="81">
        <v>0</v>
      </c>
      <c r="AF20" s="6"/>
    </row>
    <row r="21" spans="1:32" x14ac:dyDescent="0.35">
      <c r="A21" s="479" t="s">
        <v>187</v>
      </c>
      <c r="B21" s="480"/>
      <c r="C21" s="480"/>
      <c r="D21" s="481"/>
      <c r="E21" s="79">
        <f>$H$10*Parameetrid!I9*Sisend!$G$15</f>
        <v>16822.570049999998</v>
      </c>
      <c r="F21" s="63">
        <f>Sisend!$H$15/Sisend!$G$15</f>
        <v>0.82212735681252225</v>
      </c>
      <c r="G21" s="78">
        <f t="shared" si="10"/>
        <v>13830.295049999999</v>
      </c>
      <c r="H21" s="67">
        <f>Parameetrid!J9*Sisend!$H$16*$G$10</f>
        <v>87978.376389240337</v>
      </c>
      <c r="I21" s="312"/>
      <c r="J21" s="6"/>
      <c r="K21" s="6"/>
      <c r="L21" s="5" t="str">
        <f t="shared" si="11"/>
        <v>Ühistransport</v>
      </c>
      <c r="M21" s="5"/>
      <c r="N21" s="5"/>
      <c r="O21" s="5"/>
      <c r="P21" s="59">
        <v>0</v>
      </c>
      <c r="Q21" s="59">
        <f t="shared" si="12"/>
        <v>16822.570049999998</v>
      </c>
      <c r="R21" s="59">
        <f t="shared" si="13"/>
        <v>8579.5107255000003</v>
      </c>
      <c r="S21" s="59">
        <f t="shared" si="14"/>
        <v>8579.5107255000003</v>
      </c>
      <c r="T21" s="59">
        <f t="shared" si="15"/>
        <v>12955.061195505001</v>
      </c>
      <c r="U21" s="59">
        <f t="shared" si="16"/>
        <v>21534.571921005001</v>
      </c>
      <c r="V21" s="286">
        <f>S21*$O$11/(1+$O$11)+S21*0.25*R11</f>
        <v>2190.5881893387295</v>
      </c>
      <c r="W21" s="59">
        <v>0</v>
      </c>
      <c r="X21" s="59">
        <f t="shared" si="17"/>
        <v>101808.67143924034</v>
      </c>
      <c r="Y21" s="59">
        <f t="shared" si="18"/>
        <v>20361.73428784807</v>
      </c>
      <c r="Z21" s="59">
        <f t="shared" si="19"/>
        <v>20361.73428784807</v>
      </c>
      <c r="AA21" s="59">
        <f t="shared" si="20"/>
        <v>23008.759745268319</v>
      </c>
      <c r="AB21" s="59">
        <f t="shared" si="21"/>
        <v>43370.494033116389</v>
      </c>
      <c r="AC21" s="81">
        <v>0</v>
      </c>
      <c r="AF21" s="6"/>
    </row>
    <row r="22" spans="1:32" x14ac:dyDescent="0.35">
      <c r="A22" s="479" t="s">
        <v>189</v>
      </c>
      <c r="B22" s="480"/>
      <c r="C22" s="480"/>
      <c r="D22" s="481"/>
      <c r="E22" s="79">
        <f>$H$10*Parameetrid!I10*Sisend!$G$15</f>
        <v>16822.570049999998</v>
      </c>
      <c r="F22" s="63">
        <f>Sisend!$H$15/Sisend!$G$15</f>
        <v>0.82212735681252225</v>
      </c>
      <c r="G22" s="78">
        <f t="shared" si="10"/>
        <v>13830.295049999999</v>
      </c>
      <c r="H22" s="67">
        <f>Parameetrid!J10*Sisend!$H$16*$G$10</f>
        <v>87978.376389240337</v>
      </c>
      <c r="I22" s="312"/>
      <c r="J22" s="6"/>
      <c r="K22" s="6"/>
      <c r="L22" s="5" t="str">
        <f t="shared" si="11"/>
        <v>Transport (autorent, mootorikütus, parkimine, jms)</v>
      </c>
      <c r="M22" s="5"/>
      <c r="N22" s="5"/>
      <c r="O22" s="5"/>
      <c r="P22" s="59">
        <v>0</v>
      </c>
      <c r="Q22" s="59">
        <f t="shared" si="12"/>
        <v>16822.570049999998</v>
      </c>
      <c r="R22" s="59">
        <f t="shared" si="13"/>
        <v>8579.5107255000003</v>
      </c>
      <c r="S22" s="59">
        <f t="shared" si="14"/>
        <v>8579.5107255000003</v>
      </c>
      <c r="T22" s="59">
        <f t="shared" si="15"/>
        <v>12955.061195505001</v>
      </c>
      <c r="U22" s="59">
        <f t="shared" si="16"/>
        <v>21534.571921005001</v>
      </c>
      <c r="V22" s="286">
        <f>S22*$O$11/(1+$O$11)+R11*0.5*U22</f>
        <v>4777.3106730769796</v>
      </c>
      <c r="W22" s="59">
        <v>0</v>
      </c>
      <c r="X22" s="59">
        <f t="shared" si="17"/>
        <v>101808.67143924034</v>
      </c>
      <c r="Y22" s="59">
        <f t="shared" si="18"/>
        <v>20361.73428784807</v>
      </c>
      <c r="Z22" s="59">
        <f t="shared" si="19"/>
        <v>20361.73428784807</v>
      </c>
      <c r="AA22" s="59">
        <f t="shared" si="20"/>
        <v>23008.759745268319</v>
      </c>
      <c r="AB22" s="59">
        <f t="shared" si="21"/>
        <v>43370.494033116389</v>
      </c>
      <c r="AC22" s="81">
        <v>0</v>
      </c>
      <c r="AF22" s="6"/>
    </row>
    <row r="23" spans="1:32" x14ac:dyDescent="0.35">
      <c r="A23" s="479" t="s">
        <v>191</v>
      </c>
      <c r="B23" s="480"/>
      <c r="C23" s="480"/>
      <c r="D23" s="481"/>
      <c r="E23" s="79">
        <f>$H$10*Parameetrid!I11*Sisend!$G$15</f>
        <v>18181.969649999999</v>
      </c>
      <c r="F23" s="63">
        <f>Sisend!$H$15/Sisend!$G$15</f>
        <v>0.82212735681252225</v>
      </c>
      <c r="G23" s="78">
        <f t="shared" si="10"/>
        <v>14947.89465</v>
      </c>
      <c r="H23" s="67">
        <f>Parameetrid!J11*Sisend!$H$16*$G$10</f>
        <v>115048.64604746812</v>
      </c>
      <c r="I23" s="312"/>
      <c r="J23" s="6"/>
      <c r="K23" s="6"/>
      <c r="L23" s="5" t="str">
        <f t="shared" si="11"/>
        <v>Meelelahutus (sh kultuuriüritused)</v>
      </c>
      <c r="M23" s="5"/>
      <c r="N23" s="5"/>
      <c r="O23" s="5"/>
      <c r="P23" s="59">
        <v>0</v>
      </c>
      <c r="Q23" s="59">
        <f t="shared" si="12"/>
        <v>18181.969649999999</v>
      </c>
      <c r="R23" s="59">
        <f t="shared" si="13"/>
        <v>9272.8045215000002</v>
      </c>
      <c r="S23" s="59">
        <f t="shared" si="14"/>
        <v>9272.8045215000002</v>
      </c>
      <c r="T23" s="59">
        <f t="shared" si="15"/>
        <v>14001.934827465</v>
      </c>
      <c r="U23" s="59">
        <f t="shared" si="16"/>
        <v>23274.739348964998</v>
      </c>
      <c r="V23" s="286">
        <f>S23*$O$11/(1+$O$11)</f>
        <v>1672.145077647541</v>
      </c>
      <c r="W23" s="59">
        <v>0</v>
      </c>
      <c r="X23" s="59">
        <f t="shared" si="17"/>
        <v>129996.54069746812</v>
      </c>
      <c r="Y23" s="59">
        <f t="shared" si="18"/>
        <v>25999.308139493627</v>
      </c>
      <c r="Z23" s="59">
        <f t="shared" si="19"/>
        <v>25999.308139493627</v>
      </c>
      <c r="AA23" s="59">
        <f t="shared" si="20"/>
        <v>29379.218197627797</v>
      </c>
      <c r="AB23" s="59">
        <f t="shared" si="21"/>
        <v>55378.526337121424</v>
      </c>
      <c r="AC23" s="81">
        <v>0</v>
      </c>
      <c r="AF23" s="6"/>
    </row>
    <row r="24" spans="1:32" s="1" customFormat="1" ht="15" thickBot="1" x14ac:dyDescent="0.4">
      <c r="A24" s="505" t="s">
        <v>334</v>
      </c>
      <c r="B24" s="506"/>
      <c r="C24" s="506"/>
      <c r="D24" s="507"/>
      <c r="E24" s="80">
        <f>SUM(E17:E23)</f>
        <v>218523.48570000002</v>
      </c>
      <c r="F24" s="62"/>
      <c r="G24" s="80">
        <f>SUM(G17:G23)</f>
        <v>179654.13569999998</v>
      </c>
      <c r="H24" s="66">
        <f>SUM(H17:I23)</f>
        <v>889709.52943375357</v>
      </c>
      <c r="I24" s="313"/>
      <c r="J24" s="33"/>
      <c r="K24" s="33"/>
      <c r="L24" s="10" t="str">
        <f t="shared" si="11"/>
        <v>KOKKU LÄBI KÜLASTAJATE</v>
      </c>
      <c r="M24" s="10"/>
      <c r="N24" s="10"/>
      <c r="O24" s="10"/>
      <c r="P24" s="82">
        <f t="shared" ref="P24:AC24" si="22">SUM(P17:P23)</f>
        <v>0</v>
      </c>
      <c r="Q24" s="82">
        <f t="shared" ref="Q24:V24" si="23">SUM(Q17:Q23)</f>
        <v>218523.48570000002</v>
      </c>
      <c r="R24" s="82">
        <f t="shared" si="23"/>
        <v>111446.97770700003</v>
      </c>
      <c r="S24" s="82">
        <f t="shared" si="23"/>
        <v>111446.97770700003</v>
      </c>
      <c r="T24" s="82">
        <f t="shared" si="23"/>
        <v>168284.93633757002</v>
      </c>
      <c r="U24" s="82">
        <f t="shared" si="23"/>
        <v>279731.91404457006</v>
      </c>
      <c r="V24" s="82">
        <f t="shared" si="23"/>
        <v>24680.414440377732</v>
      </c>
      <c r="W24" s="82">
        <f t="shared" si="22"/>
        <v>0</v>
      </c>
      <c r="X24" s="82">
        <f>SUM(X17:X23)</f>
        <v>1069363.6651337536</v>
      </c>
      <c r="Y24" s="82">
        <f>SUM(Y17:Y23)</f>
        <v>213872.73302675074</v>
      </c>
      <c r="Z24" s="82">
        <f>SUM(Z17:Z23)</f>
        <v>213872.73302675074</v>
      </c>
      <c r="AA24" s="82">
        <f>SUM(AA17:AA23)</f>
        <v>241676.18832022831</v>
      </c>
      <c r="AB24" s="82">
        <f>SUM(AB17:AB23)</f>
        <v>455548.92134697904</v>
      </c>
      <c r="AC24" s="82">
        <f t="shared" si="22"/>
        <v>0</v>
      </c>
      <c r="AD24" s="6"/>
      <c r="AE24" s="6"/>
      <c r="AF24" s="33"/>
    </row>
    <row r="25" spans="1:32" ht="58" x14ac:dyDescent="0.35">
      <c r="A25" s="6"/>
      <c r="B25" s="6"/>
      <c r="C25" s="6"/>
      <c r="D25" s="6"/>
      <c r="E25" s="6"/>
      <c r="F25" s="6"/>
      <c r="G25" s="6"/>
      <c r="H25" s="6"/>
      <c r="I25" s="6"/>
      <c r="J25" s="6"/>
      <c r="K25" s="6"/>
      <c r="L25" s="6"/>
      <c r="M25" s="6"/>
      <c r="N25" s="6"/>
      <c r="O25" s="37" t="s">
        <v>335</v>
      </c>
      <c r="P25" s="34" t="str">
        <f>P16</f>
        <v>Otsene tulu Eestile</v>
      </c>
      <c r="Q25" s="34" t="str">
        <f t="shared" ref="Q25:AC25" si="24">Q16</f>
        <v>Eestisse jõudev kaupade, teenuste ja investeeringute süst</v>
      </c>
      <c r="R25" s="34" t="str">
        <f t="shared" si="24"/>
        <v>Kaudne tulu Eestile</v>
      </c>
      <c r="S25" s="34" t="str">
        <f t="shared" si="24"/>
        <v>Esmane tulu Eestile</v>
      </c>
      <c r="T25" s="34" t="str">
        <f t="shared" si="24"/>
        <v>Esilekutsutud tulu Eestile</v>
      </c>
      <c r="U25" s="34" t="str">
        <f t="shared" si="24"/>
        <v>Tulu Eestile</v>
      </c>
      <c r="V25" s="34" t="str">
        <f t="shared" si="24"/>
        <v>Esmane maksutulu Eestile</v>
      </c>
      <c r="W25" s="34" t="str">
        <f t="shared" si="24"/>
        <v>Otsene kohalik tulu</v>
      </c>
      <c r="X25" s="34" t="str">
        <f t="shared" si="24"/>
        <v>Kohalik kaupade, teenuste ja investeeringute süst</v>
      </c>
      <c r="Y25" s="34" t="str">
        <f t="shared" si="24"/>
        <v>Kaudne kohalik tulu</v>
      </c>
      <c r="Z25" s="34" t="str">
        <f t="shared" si="24"/>
        <v>Esmane kohalik tulu</v>
      </c>
      <c r="AA25" s="34" t="str">
        <f t="shared" si="24"/>
        <v>Esilekutsutud kohalik tulu</v>
      </c>
      <c r="AB25" s="34" t="str">
        <f t="shared" si="24"/>
        <v>Kohalik tulu</v>
      </c>
      <c r="AC25" s="34" t="str">
        <f t="shared" si="24"/>
        <v>Otsene kohalik maksutulu</v>
      </c>
      <c r="AF25" s="6"/>
    </row>
    <row r="26" spans="1:32" ht="29.5" thickBot="1" x14ac:dyDescent="0.4">
      <c r="A26" s="510"/>
      <c r="B26" s="510"/>
      <c r="C26" s="510"/>
      <c r="D26" s="510"/>
      <c r="E26" s="6"/>
      <c r="F26" s="6"/>
      <c r="G26" s="6"/>
      <c r="H26" s="6"/>
      <c r="I26" s="6"/>
      <c r="J26" s="6"/>
      <c r="K26" s="6"/>
      <c r="L26" s="6"/>
      <c r="M26" s="6"/>
      <c r="N26" s="6"/>
      <c r="O26" s="35" t="s">
        <v>336</v>
      </c>
      <c r="P26" s="38">
        <f t="shared" ref="P26:AC26" si="25">P8+P24</f>
        <v>7352.0322572614105</v>
      </c>
      <c r="Q26" s="38">
        <f t="shared" si="25"/>
        <v>234811.42854647303</v>
      </c>
      <c r="R26" s="38">
        <f t="shared" si="25"/>
        <v>119753.82855870127</v>
      </c>
      <c r="S26" s="38">
        <f t="shared" si="25"/>
        <v>127105.86081596269</v>
      </c>
      <c r="T26" s="38">
        <f t="shared" si="25"/>
        <v>191929.84983210365</v>
      </c>
      <c r="U26" s="38">
        <f t="shared" si="25"/>
        <v>319035.71064806631</v>
      </c>
      <c r="V26" s="38">
        <f t="shared" si="25"/>
        <v>29775.189998972521</v>
      </c>
      <c r="W26" s="38">
        <f t="shared" si="25"/>
        <v>124570.78666429884</v>
      </c>
      <c r="X26" s="38">
        <f t="shared" si="25"/>
        <v>1330636.6017033488</v>
      </c>
      <c r="Y26" s="38">
        <f t="shared" si="25"/>
        <v>266127.32034066977</v>
      </c>
      <c r="Z26" s="38">
        <f t="shared" si="25"/>
        <v>390698.10700496862</v>
      </c>
      <c r="AA26" s="38">
        <f t="shared" si="25"/>
        <v>441488.86091561452</v>
      </c>
      <c r="AB26" s="38">
        <f t="shared" si="25"/>
        <v>832186.96792058321</v>
      </c>
      <c r="AC26" s="39">
        <f t="shared" si="25"/>
        <v>11086.800013122596</v>
      </c>
      <c r="AF26" s="6"/>
    </row>
    <row r="27" spans="1:32" x14ac:dyDescent="0.35">
      <c r="A27" s="508"/>
      <c r="B27" s="509"/>
      <c r="C27" s="509"/>
      <c r="D27" s="509"/>
      <c r="E27" s="509"/>
      <c r="F27" s="509"/>
      <c r="G27" s="509"/>
      <c r="H27" s="509"/>
      <c r="I27" s="6"/>
      <c r="J27" s="6"/>
      <c r="K27" s="6"/>
      <c r="L27" s="6"/>
      <c r="M27" s="6"/>
      <c r="N27" s="6"/>
      <c r="O27" s="6"/>
      <c r="P27" s="6"/>
      <c r="Q27" s="6"/>
      <c r="R27" s="6"/>
      <c r="S27" s="6"/>
      <c r="T27" s="6"/>
      <c r="U27" s="6"/>
      <c r="V27" s="6"/>
      <c r="W27" s="6"/>
      <c r="X27" s="6"/>
      <c r="Y27" s="6"/>
      <c r="Z27" s="6"/>
      <c r="AA27" s="6"/>
      <c r="AB27" s="6"/>
      <c r="AC27" s="6"/>
      <c r="AF27" s="6"/>
    </row>
    <row r="28" spans="1:32" x14ac:dyDescent="0.35">
      <c r="A28" s="513"/>
      <c r="B28" s="514"/>
      <c r="C28" s="14"/>
      <c r="D28" s="15"/>
      <c r="E28" s="18"/>
      <c r="F28" s="18"/>
      <c r="G28" s="13"/>
      <c r="H28" s="14"/>
      <c r="I28" s="6"/>
      <c r="J28" s="6"/>
      <c r="K28" s="6"/>
      <c r="L28" s="6"/>
      <c r="M28" s="6"/>
      <c r="N28" s="6"/>
      <c r="O28" s="6"/>
      <c r="P28" s="6"/>
      <c r="Q28" s="6"/>
      <c r="R28" s="6"/>
      <c r="S28" s="6"/>
      <c r="T28" s="6"/>
      <c r="U28" s="6"/>
      <c r="V28" s="6"/>
      <c r="W28" s="6"/>
      <c r="X28" s="6"/>
      <c r="Y28" s="6"/>
      <c r="Z28" s="6"/>
      <c r="AA28" s="6"/>
      <c r="AB28" s="6"/>
      <c r="AC28" s="6"/>
      <c r="AF28" s="6"/>
    </row>
    <row r="29" spans="1:32" x14ac:dyDescent="0.35">
      <c r="A29" s="511"/>
      <c r="B29" s="512"/>
      <c r="C29" s="14"/>
      <c r="D29" s="15"/>
      <c r="E29" s="11"/>
      <c r="F29" s="11"/>
      <c r="G29" s="16"/>
      <c r="H29" s="17"/>
      <c r="I29" s="6"/>
      <c r="J29" s="6"/>
      <c r="K29" s="6"/>
      <c r="L29" s="6"/>
      <c r="M29" s="6"/>
      <c r="N29" s="6"/>
      <c r="O29" s="6"/>
      <c r="P29" s="6"/>
      <c r="Q29" s="6"/>
      <c r="R29" s="6"/>
      <c r="S29" s="6"/>
      <c r="T29" s="6"/>
      <c r="U29" s="6"/>
      <c r="V29" s="6"/>
      <c r="W29" s="6"/>
      <c r="X29" s="6"/>
      <c r="Y29" s="6"/>
      <c r="Z29" s="6"/>
      <c r="AA29" s="6"/>
      <c r="AB29" s="6"/>
      <c r="AC29" s="6"/>
      <c r="AF29" s="6"/>
    </row>
    <row r="30" spans="1:32" x14ac:dyDescent="0.35">
      <c r="A30" s="497"/>
      <c r="B30" s="498"/>
      <c r="C30" s="14"/>
      <c r="D30" s="15"/>
      <c r="E30" s="11"/>
      <c r="F30" s="11"/>
      <c r="G30" s="16"/>
      <c r="H30" s="17"/>
      <c r="I30" s="6"/>
      <c r="J30" s="6"/>
      <c r="K30" s="6"/>
      <c r="L30" s="6"/>
      <c r="M30" s="6"/>
      <c r="N30" s="6"/>
      <c r="O30" s="6"/>
      <c r="P30" s="6"/>
      <c r="Q30" s="6"/>
      <c r="R30" s="6"/>
      <c r="S30" s="6"/>
      <c r="T30" s="6"/>
      <c r="U30" s="6"/>
      <c r="V30" s="6"/>
      <c r="W30" s="6"/>
      <c r="X30" s="6"/>
      <c r="Y30" s="6"/>
      <c r="Z30" s="6"/>
      <c r="AA30" s="6"/>
      <c r="AB30" s="6"/>
      <c r="AC30" s="6"/>
      <c r="AF30" s="6"/>
    </row>
    <row r="31" spans="1:32" x14ac:dyDescent="0.35">
      <c r="A31" s="497"/>
      <c r="B31" s="498"/>
      <c r="C31" s="14"/>
      <c r="D31" s="15"/>
      <c r="E31" s="11"/>
      <c r="F31" s="11"/>
      <c r="G31" s="16"/>
      <c r="H31" s="17"/>
      <c r="I31" s="6"/>
      <c r="J31" s="6"/>
      <c r="K31" s="6"/>
      <c r="L31" s="6"/>
      <c r="M31" s="6"/>
      <c r="N31" s="6"/>
      <c r="O31" s="6"/>
      <c r="P31" s="6"/>
      <c r="Q31" s="6"/>
      <c r="R31" s="6"/>
      <c r="S31" s="6"/>
      <c r="T31" s="6"/>
      <c r="U31" s="6"/>
      <c r="V31" s="6"/>
      <c r="W31" s="6"/>
      <c r="X31" s="6"/>
      <c r="Y31" s="6"/>
      <c r="Z31" s="6"/>
      <c r="AA31" s="6"/>
      <c r="AB31" s="6"/>
      <c r="AC31" s="6"/>
      <c r="AF31" s="6"/>
    </row>
    <row r="32" spans="1:32" x14ac:dyDescent="0.35">
      <c r="A32" s="497"/>
      <c r="B32" s="498"/>
      <c r="C32" s="14"/>
      <c r="D32" s="15"/>
      <c r="E32" s="11"/>
      <c r="F32" s="11"/>
      <c r="G32" s="16"/>
      <c r="H32" s="17"/>
      <c r="I32" s="6"/>
      <c r="J32" s="6"/>
      <c r="K32" s="6"/>
      <c r="L32" s="6"/>
      <c r="M32" s="6"/>
      <c r="N32" s="6"/>
      <c r="O32" s="6"/>
      <c r="P32" s="6"/>
      <c r="Q32" s="6"/>
      <c r="R32" s="6"/>
      <c r="S32" s="6"/>
      <c r="T32" s="6"/>
      <c r="U32" s="6"/>
      <c r="V32" s="6"/>
      <c r="W32" s="6"/>
      <c r="X32" s="6"/>
      <c r="Y32" s="6"/>
      <c r="Z32" s="6"/>
      <c r="AA32" s="6"/>
      <c r="AB32" s="6"/>
      <c r="AC32" s="6"/>
      <c r="AF32" s="6"/>
    </row>
    <row r="33" spans="1:32" ht="48" customHeight="1" x14ac:dyDescent="0.35">
      <c r="A33" s="497"/>
      <c r="B33" s="498"/>
      <c r="C33" s="14"/>
      <c r="D33" s="15"/>
      <c r="E33" s="11"/>
      <c r="F33" s="11"/>
      <c r="G33" s="16"/>
      <c r="H33" s="17"/>
      <c r="I33" s="6"/>
      <c r="J33" s="6"/>
      <c r="K33" s="6"/>
      <c r="L33" s="6"/>
      <c r="M33" s="6"/>
      <c r="N33" s="6"/>
      <c r="O33" s="6"/>
      <c r="P33" s="6"/>
      <c r="Q33" s="6"/>
      <c r="R33" s="6"/>
      <c r="S33" s="6"/>
      <c r="T33" s="6"/>
      <c r="U33" s="6"/>
      <c r="V33" s="6"/>
      <c r="W33" s="6"/>
      <c r="X33" s="6"/>
      <c r="Y33" s="6"/>
      <c r="Z33" s="6"/>
      <c r="AA33" s="6"/>
      <c r="AB33" s="6"/>
      <c r="AC33" s="6"/>
      <c r="AF33" s="6"/>
    </row>
    <row r="34" spans="1:32" x14ac:dyDescent="0.35">
      <c r="A34" s="497"/>
      <c r="B34" s="498"/>
      <c r="C34" s="14"/>
      <c r="D34" s="15"/>
      <c r="E34" s="11"/>
      <c r="F34" s="11"/>
      <c r="G34" s="16"/>
      <c r="H34" s="17"/>
      <c r="I34" s="6"/>
      <c r="J34" s="6"/>
      <c r="K34" s="6"/>
      <c r="L34" s="6"/>
      <c r="M34" s="6"/>
      <c r="N34" s="6"/>
      <c r="O34" s="6"/>
      <c r="P34" s="6"/>
      <c r="Q34" s="6"/>
      <c r="R34" s="6"/>
      <c r="S34" s="6"/>
      <c r="T34" s="6"/>
      <c r="U34" s="6"/>
      <c r="V34" s="6"/>
      <c r="W34" s="6"/>
      <c r="X34" s="6"/>
      <c r="Y34" s="6"/>
      <c r="Z34" s="6"/>
      <c r="AA34" s="6"/>
      <c r="AB34" s="6"/>
      <c r="AC34" s="6"/>
      <c r="AF34" s="6"/>
    </row>
    <row r="35" spans="1:32" x14ac:dyDescent="0.35">
      <c r="A35" s="497"/>
      <c r="B35" s="498"/>
      <c r="C35" s="14"/>
      <c r="D35" s="15"/>
      <c r="E35" s="11"/>
      <c r="F35" s="11"/>
      <c r="G35" s="16"/>
      <c r="H35" s="17"/>
      <c r="I35" s="6"/>
      <c r="J35" s="6"/>
      <c r="K35" s="6"/>
      <c r="L35" s="6"/>
      <c r="M35" s="6"/>
      <c r="N35" s="6"/>
      <c r="O35" s="6"/>
      <c r="P35" s="6"/>
      <c r="Q35" s="6"/>
      <c r="R35" s="6"/>
      <c r="S35" s="6"/>
      <c r="T35" s="6"/>
      <c r="U35" s="6"/>
      <c r="V35" s="6"/>
      <c r="W35" s="6"/>
      <c r="X35" s="6"/>
      <c r="Y35" s="6"/>
      <c r="Z35" s="6"/>
      <c r="AA35" s="6"/>
      <c r="AB35" s="6"/>
      <c r="AC35" s="6"/>
      <c r="AF35" s="6"/>
    </row>
    <row r="36" spans="1:32" x14ac:dyDescent="0.35">
      <c r="A36" s="497"/>
      <c r="B36" s="498"/>
      <c r="C36" s="14"/>
      <c r="D36" s="15"/>
      <c r="E36" s="11"/>
      <c r="F36" s="11"/>
      <c r="G36" s="16"/>
      <c r="H36" s="17"/>
      <c r="I36" s="6"/>
      <c r="J36" s="6"/>
      <c r="K36" s="6"/>
      <c r="L36" s="6"/>
      <c r="M36" s="6"/>
      <c r="N36" s="6"/>
      <c r="O36" s="6"/>
      <c r="P36" s="6"/>
      <c r="Q36" s="6"/>
      <c r="R36" s="6"/>
      <c r="S36" s="6"/>
      <c r="T36" s="6"/>
      <c r="U36" s="6"/>
      <c r="V36" s="6"/>
      <c r="W36" s="6"/>
      <c r="X36" s="6"/>
      <c r="Y36" s="6"/>
      <c r="Z36" s="6"/>
      <c r="AA36" s="6"/>
      <c r="AB36" s="6"/>
      <c r="AC36" s="6"/>
      <c r="AF36" s="6"/>
    </row>
    <row r="37" spans="1:32" x14ac:dyDescent="0.35">
      <c r="A37" s="497"/>
      <c r="B37" s="498"/>
      <c r="C37" s="14"/>
      <c r="D37" s="15"/>
      <c r="E37" s="12"/>
      <c r="F37" s="11"/>
      <c r="G37" s="16"/>
      <c r="H37" s="17"/>
      <c r="I37" s="6"/>
      <c r="J37" s="6"/>
      <c r="K37" s="6"/>
      <c r="L37" s="6"/>
      <c r="M37" s="6"/>
      <c r="N37" s="6"/>
      <c r="O37" s="6"/>
      <c r="P37" s="6"/>
      <c r="Q37" s="6"/>
      <c r="R37" s="6"/>
      <c r="S37" s="6"/>
      <c r="T37" s="6"/>
      <c r="U37" s="6"/>
      <c r="V37" s="6"/>
      <c r="W37" s="6"/>
      <c r="X37" s="6"/>
      <c r="Y37" s="6"/>
      <c r="Z37" s="6"/>
      <c r="AA37" s="6"/>
      <c r="AB37" s="6"/>
      <c r="AC37" s="6"/>
      <c r="AF37" s="6"/>
    </row>
    <row r="38" spans="1:32" x14ac:dyDescent="0.35">
      <c r="A38" s="497"/>
      <c r="B38" s="498"/>
      <c r="C38" s="14"/>
      <c r="D38" s="15"/>
      <c r="E38" s="12"/>
      <c r="F38" s="11"/>
      <c r="G38" s="16"/>
      <c r="H38" s="17"/>
      <c r="I38" s="6"/>
      <c r="J38" s="6"/>
      <c r="K38" s="6"/>
      <c r="L38" s="6"/>
      <c r="M38" s="6"/>
      <c r="N38" s="6"/>
      <c r="O38" s="6"/>
      <c r="P38" s="6"/>
      <c r="Q38" s="6"/>
      <c r="R38" s="6"/>
      <c r="S38" s="6"/>
      <c r="T38" s="6"/>
      <c r="U38" s="6"/>
      <c r="V38" s="6"/>
      <c r="W38" s="6"/>
      <c r="X38" s="6"/>
      <c r="Y38" s="6"/>
      <c r="Z38" s="6"/>
      <c r="AA38" s="6"/>
      <c r="AB38" s="6"/>
      <c r="AC38" s="6"/>
      <c r="AF38" s="6"/>
    </row>
    <row r="39" spans="1:32" x14ac:dyDescent="0.35">
      <c r="A39" s="497"/>
      <c r="B39" s="498"/>
      <c r="C39" s="27"/>
      <c r="D39" s="28"/>
      <c r="E39" s="29"/>
      <c r="F39" s="31"/>
      <c r="G39" s="16"/>
      <c r="H39" s="17"/>
      <c r="I39" s="6"/>
      <c r="J39" s="6"/>
      <c r="K39" s="6"/>
      <c r="L39" s="6"/>
      <c r="M39" s="6"/>
      <c r="N39" s="6"/>
      <c r="O39" s="6"/>
      <c r="P39" s="6"/>
      <c r="Q39" s="6"/>
      <c r="R39" s="6"/>
      <c r="S39" s="6"/>
      <c r="T39" s="6"/>
      <c r="U39" s="6"/>
      <c r="V39" s="6"/>
      <c r="W39" s="6"/>
      <c r="X39" s="6"/>
      <c r="Y39" s="6"/>
      <c r="Z39" s="6"/>
      <c r="AA39" s="6"/>
      <c r="AB39" s="6"/>
      <c r="AC39" s="6"/>
      <c r="AF39" s="6"/>
    </row>
    <row r="40" spans="1:32" x14ac:dyDescent="0.35">
      <c r="A40" s="497"/>
      <c r="B40" s="498"/>
      <c r="C40" s="6"/>
      <c r="D40" s="6"/>
      <c r="E40" s="6"/>
      <c r="F40" s="6"/>
      <c r="G40" s="6"/>
      <c r="H40" s="6"/>
      <c r="I40" s="6"/>
      <c r="J40" s="6"/>
      <c r="K40" s="6"/>
      <c r="L40" s="6"/>
      <c r="M40" s="6"/>
      <c r="N40" s="6"/>
      <c r="O40" s="6"/>
      <c r="P40" s="6"/>
      <c r="Q40" s="6"/>
      <c r="R40" s="6"/>
      <c r="S40" s="6"/>
      <c r="T40" s="6"/>
      <c r="U40" s="6"/>
      <c r="V40" s="6"/>
      <c r="W40" s="6"/>
      <c r="X40" s="6"/>
      <c r="Y40" s="6"/>
      <c r="Z40" s="6"/>
      <c r="AA40" s="6"/>
      <c r="AB40" s="6"/>
      <c r="AC40" s="6"/>
      <c r="AF40" s="6"/>
    </row>
    <row r="41" spans="1:32" x14ac:dyDescent="0.35">
      <c r="A41" s="497"/>
      <c r="B41" s="498"/>
      <c r="C41" s="6"/>
      <c r="D41" s="6"/>
      <c r="E41" s="6"/>
      <c r="F41" s="6"/>
      <c r="G41" s="6"/>
      <c r="H41" s="6"/>
      <c r="I41" s="6"/>
      <c r="J41" s="6"/>
      <c r="K41" s="6"/>
      <c r="L41" s="6"/>
      <c r="M41" s="6"/>
      <c r="N41" s="6"/>
      <c r="O41" s="6"/>
      <c r="P41" s="6"/>
      <c r="Q41" s="6"/>
      <c r="R41" s="6"/>
      <c r="S41" s="6"/>
      <c r="T41" s="6"/>
      <c r="U41" s="6"/>
      <c r="V41" s="6"/>
      <c r="W41" s="6"/>
      <c r="X41" s="6"/>
      <c r="Y41" s="6"/>
      <c r="Z41" s="6"/>
      <c r="AA41" s="6"/>
      <c r="AB41" s="6"/>
      <c r="AC41" s="6"/>
      <c r="AF41" s="6"/>
    </row>
    <row r="42" spans="1:32" x14ac:dyDescent="0.35">
      <c r="A42" s="497"/>
      <c r="B42" s="498"/>
      <c r="C42" s="6"/>
      <c r="D42" s="6"/>
      <c r="E42" s="6"/>
      <c r="F42" s="6"/>
      <c r="G42" s="6"/>
      <c r="H42" s="6"/>
      <c r="I42" s="6"/>
      <c r="J42" s="6"/>
      <c r="K42" s="6"/>
      <c r="L42" s="6"/>
      <c r="M42" s="6"/>
      <c r="N42" s="6"/>
      <c r="O42" s="6"/>
      <c r="P42" s="6"/>
      <c r="Q42" s="6"/>
      <c r="R42" s="6"/>
      <c r="S42" s="6"/>
      <c r="T42" s="6"/>
      <c r="U42" s="6"/>
      <c r="V42" s="6"/>
      <c r="W42" s="6"/>
      <c r="X42" s="6"/>
      <c r="Y42" s="6"/>
      <c r="Z42" s="6"/>
      <c r="AA42" s="6"/>
      <c r="AB42" s="6"/>
      <c r="AC42" s="6"/>
      <c r="AF42" s="6"/>
    </row>
    <row r="43" spans="1:32" x14ac:dyDescent="0.35">
      <c r="A43" s="497"/>
      <c r="B43" s="498"/>
      <c r="C43" s="6"/>
      <c r="D43" s="6"/>
      <c r="E43" s="6"/>
      <c r="F43" s="6"/>
      <c r="G43" s="6"/>
      <c r="H43" s="6"/>
      <c r="I43" s="6"/>
      <c r="J43" s="6"/>
      <c r="K43" s="6"/>
      <c r="L43" s="6"/>
      <c r="M43" s="6"/>
      <c r="N43" s="6"/>
      <c r="O43" s="6"/>
      <c r="P43" s="6"/>
      <c r="Q43" s="6"/>
      <c r="R43" s="6"/>
      <c r="S43" s="6"/>
      <c r="T43" s="6"/>
      <c r="U43" s="6"/>
      <c r="V43" s="6"/>
      <c r="W43" s="6"/>
      <c r="X43" s="6"/>
      <c r="Y43" s="6"/>
      <c r="Z43" s="6"/>
      <c r="AA43" s="6"/>
      <c r="AB43" s="6"/>
      <c r="AC43" s="6"/>
      <c r="AF43" s="6"/>
    </row>
    <row r="44" spans="1:32" x14ac:dyDescent="0.35">
      <c r="A44" s="497"/>
      <c r="B44" s="498"/>
      <c r="C44" s="6"/>
      <c r="D44" s="6"/>
      <c r="E44" s="6"/>
      <c r="F44" s="6"/>
      <c r="G44" s="6"/>
      <c r="H44" s="6"/>
      <c r="I44" s="6"/>
      <c r="J44" s="6"/>
      <c r="K44" s="6"/>
      <c r="L44" s="6"/>
      <c r="M44" s="6"/>
      <c r="N44" s="6"/>
      <c r="O44" s="6"/>
      <c r="P44" s="6"/>
      <c r="Q44" s="6"/>
      <c r="R44" s="6"/>
      <c r="S44" s="6"/>
      <c r="T44" s="6"/>
      <c r="U44" s="6"/>
      <c r="V44" s="6"/>
      <c r="W44" s="6"/>
      <c r="X44" s="6"/>
      <c r="Y44" s="6"/>
      <c r="Z44" s="6"/>
      <c r="AA44" s="6"/>
      <c r="AB44" s="6"/>
      <c r="AC44" s="6"/>
      <c r="AF44" s="6"/>
    </row>
    <row r="45" spans="1:32" x14ac:dyDescent="0.35">
      <c r="A45" s="497"/>
      <c r="B45" s="498"/>
      <c r="C45" s="6"/>
      <c r="D45" s="6"/>
      <c r="E45" s="6"/>
      <c r="F45" s="6"/>
      <c r="G45" s="6"/>
      <c r="H45" s="6"/>
      <c r="I45" s="6"/>
      <c r="J45" s="6"/>
      <c r="K45" s="6"/>
      <c r="L45" s="6"/>
      <c r="M45" s="6"/>
      <c r="N45" s="6"/>
      <c r="O45" s="6"/>
      <c r="P45" s="6"/>
      <c r="Q45" s="6"/>
      <c r="R45" s="6"/>
      <c r="S45" s="6"/>
      <c r="T45" s="6"/>
      <c r="U45" s="6"/>
      <c r="V45" s="6"/>
      <c r="W45" s="6"/>
      <c r="X45" s="6"/>
      <c r="Y45" s="6"/>
      <c r="Z45" s="6"/>
      <c r="AA45" s="6"/>
      <c r="AB45" s="6"/>
      <c r="AC45" s="6"/>
      <c r="AF45" s="6"/>
    </row>
    <row r="46" spans="1:32" x14ac:dyDescent="0.35">
      <c r="A46" s="497"/>
      <c r="B46" s="498"/>
      <c r="C46" s="6"/>
      <c r="D46" s="6"/>
      <c r="E46" s="6"/>
      <c r="F46" s="6"/>
      <c r="G46" s="6"/>
      <c r="H46" s="6"/>
      <c r="I46" s="6"/>
      <c r="J46" s="6"/>
      <c r="K46" s="6"/>
      <c r="L46" s="6"/>
      <c r="M46" s="6"/>
      <c r="N46" s="6"/>
      <c r="O46" s="6"/>
      <c r="P46" s="6"/>
      <c r="Q46" s="6"/>
      <c r="R46" s="6"/>
      <c r="S46" s="6"/>
      <c r="T46" s="6"/>
      <c r="U46" s="6"/>
      <c r="V46" s="6"/>
      <c r="W46" s="6"/>
      <c r="X46" s="6"/>
      <c r="Y46" s="6"/>
      <c r="Z46" s="6"/>
      <c r="AA46" s="6"/>
      <c r="AB46" s="6"/>
      <c r="AC46" s="6"/>
      <c r="AF46" s="6"/>
    </row>
    <row r="47" spans="1:32" x14ac:dyDescent="0.35">
      <c r="A47" s="497"/>
      <c r="B47" s="498"/>
      <c r="C47" s="6"/>
      <c r="D47" s="6"/>
      <c r="E47" s="6"/>
      <c r="F47" s="6"/>
      <c r="G47" s="6"/>
      <c r="H47" s="6"/>
      <c r="I47" s="6"/>
      <c r="J47" s="6"/>
      <c r="K47" s="6"/>
      <c r="L47" s="6"/>
      <c r="M47" s="6"/>
      <c r="N47" s="6"/>
      <c r="O47" s="6"/>
      <c r="P47" s="6"/>
      <c r="Q47" s="6"/>
      <c r="R47" s="6"/>
      <c r="S47" s="6"/>
      <c r="T47" s="6"/>
      <c r="U47" s="6"/>
      <c r="V47" s="6"/>
      <c r="W47" s="6"/>
      <c r="X47" s="6"/>
      <c r="Y47" s="6"/>
      <c r="Z47" s="6"/>
      <c r="AA47" s="6"/>
      <c r="AB47" s="6"/>
      <c r="AC47" s="6"/>
      <c r="AF47" s="6"/>
    </row>
    <row r="48" spans="1:32" x14ac:dyDescent="0.35">
      <c r="A48" s="497"/>
      <c r="B48" s="498"/>
      <c r="C48" s="6"/>
      <c r="D48" s="6"/>
      <c r="E48" s="6"/>
      <c r="F48" s="6"/>
      <c r="G48" s="6"/>
      <c r="H48" s="6"/>
      <c r="I48" s="6"/>
      <c r="J48" s="6"/>
      <c r="K48" s="6"/>
      <c r="L48" s="6"/>
      <c r="M48" s="6"/>
      <c r="N48" s="6"/>
      <c r="O48" s="6"/>
      <c r="P48" s="6"/>
      <c r="Q48" s="6"/>
      <c r="R48" s="6"/>
      <c r="S48" s="6"/>
      <c r="T48" s="6"/>
      <c r="U48" s="6"/>
      <c r="V48" s="6"/>
      <c r="W48" s="6"/>
      <c r="X48" s="6"/>
      <c r="Y48" s="6"/>
      <c r="Z48" s="6"/>
      <c r="AA48" s="6"/>
      <c r="AB48" s="6"/>
      <c r="AC48" s="6"/>
      <c r="AF48" s="6"/>
    </row>
    <row r="49" spans="1:32" x14ac:dyDescent="0.35">
      <c r="A49" s="497"/>
      <c r="B49" s="498"/>
      <c r="C49" s="6"/>
      <c r="D49" s="6"/>
      <c r="E49" s="6"/>
      <c r="F49" s="6"/>
      <c r="G49" s="6"/>
      <c r="H49" s="6"/>
      <c r="I49" s="6"/>
      <c r="J49" s="6"/>
      <c r="K49" s="6"/>
      <c r="L49" s="6"/>
      <c r="M49" s="6"/>
      <c r="N49" s="6"/>
      <c r="O49" s="6"/>
      <c r="P49" s="6"/>
      <c r="Q49" s="6"/>
      <c r="R49" s="6"/>
      <c r="S49" s="6"/>
      <c r="T49" s="6"/>
      <c r="U49" s="6"/>
      <c r="V49" s="6"/>
      <c r="W49" s="6"/>
      <c r="X49" s="6"/>
      <c r="Y49" s="6"/>
      <c r="Z49" s="6"/>
      <c r="AA49" s="6"/>
      <c r="AB49" s="6"/>
      <c r="AC49" s="6"/>
      <c r="AF49" s="6"/>
    </row>
    <row r="50" spans="1:32" x14ac:dyDescent="0.35">
      <c r="A50" s="497"/>
      <c r="B50" s="498"/>
      <c r="C50" s="6"/>
      <c r="D50" s="6"/>
      <c r="E50" s="6"/>
      <c r="F50" s="6"/>
      <c r="G50" s="6"/>
      <c r="H50" s="6"/>
      <c r="I50" s="6"/>
      <c r="J50" s="6"/>
      <c r="K50" s="6"/>
      <c r="L50" s="6"/>
      <c r="M50" s="6"/>
      <c r="N50" s="6"/>
      <c r="O50" s="6"/>
      <c r="P50" s="6"/>
      <c r="Q50" s="6"/>
      <c r="R50" s="6"/>
      <c r="S50" s="6"/>
      <c r="T50" s="6"/>
      <c r="U50" s="6"/>
      <c r="V50" s="6"/>
      <c r="W50" s="6"/>
      <c r="X50" s="6"/>
      <c r="Y50" s="6"/>
      <c r="Z50" s="6"/>
      <c r="AA50" s="6"/>
      <c r="AB50" s="6"/>
      <c r="AC50" s="6"/>
      <c r="AF50" s="6"/>
    </row>
    <row r="51" spans="1:32" x14ac:dyDescent="0.35">
      <c r="A51" s="497"/>
      <c r="B51" s="498"/>
      <c r="C51" s="6"/>
      <c r="D51" s="6"/>
      <c r="E51" s="6"/>
      <c r="F51" s="6"/>
      <c r="G51" s="6"/>
      <c r="H51" s="6"/>
      <c r="I51" s="6"/>
      <c r="J51" s="6"/>
      <c r="K51" s="6"/>
      <c r="L51" s="6"/>
      <c r="M51" s="6"/>
      <c r="N51" s="6"/>
      <c r="O51" s="6"/>
      <c r="P51" s="6"/>
      <c r="Q51" s="6"/>
      <c r="R51" s="6"/>
      <c r="S51" s="6"/>
      <c r="T51" s="6"/>
      <c r="U51" s="6"/>
      <c r="V51" s="6"/>
      <c r="W51" s="6"/>
      <c r="X51" s="6"/>
      <c r="Y51" s="6"/>
      <c r="Z51" s="6"/>
      <c r="AA51" s="6"/>
      <c r="AB51" s="6"/>
      <c r="AC51" s="6"/>
      <c r="AF51" s="6"/>
    </row>
    <row r="52" spans="1:32" x14ac:dyDescent="0.35">
      <c r="A52" s="497"/>
      <c r="B52" s="498"/>
      <c r="C52" s="6"/>
      <c r="D52" s="6"/>
      <c r="E52" s="6"/>
      <c r="F52" s="6"/>
      <c r="G52" s="6"/>
      <c r="H52" s="6"/>
      <c r="I52" s="6"/>
      <c r="J52" s="6"/>
      <c r="K52" s="6"/>
      <c r="L52" s="6"/>
      <c r="M52" s="6"/>
      <c r="N52" s="6"/>
      <c r="O52" s="6"/>
      <c r="P52" s="6"/>
      <c r="Q52" s="6"/>
      <c r="R52" s="6"/>
      <c r="S52" s="6"/>
      <c r="T52" s="6"/>
      <c r="U52" s="6"/>
      <c r="V52" s="6"/>
      <c r="W52" s="6"/>
      <c r="X52" s="6"/>
      <c r="Y52" s="6"/>
      <c r="Z52" s="6"/>
      <c r="AA52" s="6"/>
      <c r="AB52" s="6"/>
      <c r="AC52" s="6"/>
      <c r="AF52" s="6"/>
    </row>
    <row r="53" spans="1:32" x14ac:dyDescent="0.35">
      <c r="A53" s="497"/>
      <c r="B53" s="498"/>
      <c r="C53" s="6"/>
      <c r="D53" s="6"/>
      <c r="E53" s="6"/>
      <c r="F53" s="6"/>
      <c r="G53" s="6"/>
      <c r="H53" s="6"/>
      <c r="I53" s="6"/>
      <c r="J53" s="6"/>
      <c r="K53" s="6"/>
      <c r="L53" s="6"/>
      <c r="M53" s="6"/>
      <c r="N53" s="6"/>
      <c r="O53" s="6"/>
      <c r="P53" s="6"/>
      <c r="Q53" s="6"/>
      <c r="R53" s="6"/>
      <c r="S53" s="6"/>
      <c r="T53" s="6"/>
      <c r="U53" s="6"/>
      <c r="V53" s="6"/>
      <c r="W53" s="6"/>
      <c r="X53" s="6"/>
      <c r="Y53" s="6"/>
      <c r="Z53" s="6"/>
      <c r="AA53" s="6"/>
      <c r="AB53" s="6"/>
      <c r="AC53" s="6"/>
      <c r="AF53" s="6"/>
    </row>
    <row r="54" spans="1:32" x14ac:dyDescent="0.35">
      <c r="A54" s="497"/>
      <c r="B54" s="498"/>
      <c r="C54" s="6"/>
      <c r="D54" s="6"/>
      <c r="E54" s="6"/>
      <c r="F54" s="6"/>
      <c r="G54" s="6"/>
      <c r="H54" s="6"/>
      <c r="I54" s="6"/>
      <c r="J54" s="6"/>
      <c r="K54" s="6"/>
      <c r="L54" s="6"/>
      <c r="M54" s="6"/>
      <c r="N54" s="6"/>
      <c r="O54" s="6"/>
      <c r="P54" s="6"/>
      <c r="Q54" s="6"/>
      <c r="R54" s="6"/>
      <c r="S54" s="6"/>
      <c r="T54" s="6"/>
      <c r="U54" s="6"/>
      <c r="V54" s="6"/>
      <c r="W54" s="6"/>
      <c r="X54" s="6"/>
      <c r="Y54" s="6"/>
      <c r="Z54" s="6"/>
      <c r="AA54" s="6"/>
      <c r="AB54" s="6"/>
      <c r="AC54" s="6"/>
      <c r="AF54" s="6"/>
    </row>
    <row r="55" spans="1:32" x14ac:dyDescent="0.35">
      <c r="A55" s="499"/>
      <c r="B55" s="500"/>
      <c r="C55" s="6"/>
      <c r="D55" s="6"/>
      <c r="E55" s="6"/>
      <c r="F55" s="6"/>
      <c r="G55" s="6"/>
      <c r="H55" s="6"/>
      <c r="I55" s="6"/>
      <c r="J55" s="6"/>
      <c r="K55" s="6"/>
      <c r="L55" s="6"/>
      <c r="M55" s="6"/>
      <c r="N55" s="6"/>
      <c r="O55" s="6"/>
      <c r="P55" s="6"/>
      <c r="Q55" s="6"/>
      <c r="R55" s="6"/>
      <c r="S55" s="6"/>
      <c r="T55" s="6"/>
      <c r="U55" s="6"/>
      <c r="V55" s="6"/>
      <c r="W55" s="6"/>
      <c r="X55" s="6"/>
      <c r="Y55" s="6"/>
      <c r="Z55" s="6"/>
      <c r="AA55" s="6"/>
      <c r="AB55" s="6"/>
      <c r="AC55" s="6"/>
      <c r="AF55" s="6"/>
    </row>
    <row r="56" spans="1:32" x14ac:dyDescent="0.35">
      <c r="A56" s="6"/>
      <c r="B56" s="6"/>
      <c r="C56" s="6"/>
      <c r="D56" s="6"/>
      <c r="E56" s="6"/>
      <c r="F56" s="6"/>
      <c r="G56" s="6"/>
      <c r="H56" s="6"/>
      <c r="I56" s="6"/>
      <c r="J56" s="6"/>
      <c r="K56" s="6"/>
      <c r="L56" s="6"/>
      <c r="M56" s="6"/>
      <c r="N56" s="6"/>
      <c r="O56" s="6"/>
      <c r="P56" s="6"/>
      <c r="Q56" s="6"/>
      <c r="R56" s="6"/>
      <c r="S56" s="6"/>
      <c r="T56" s="6"/>
      <c r="U56" s="6"/>
      <c r="V56" s="6"/>
      <c r="W56" s="6"/>
      <c r="X56" s="6"/>
      <c r="Y56" s="6"/>
      <c r="Z56" s="6"/>
      <c r="AA56" s="6"/>
      <c r="AB56" s="6"/>
      <c r="AC56" s="6"/>
      <c r="AF56" s="6"/>
    </row>
    <row r="57" spans="1:32" x14ac:dyDescent="0.35">
      <c r="A57" s="6"/>
      <c r="B57" s="6"/>
      <c r="C57" s="6"/>
      <c r="D57" s="6"/>
      <c r="E57" s="6"/>
      <c r="F57" s="6"/>
      <c r="G57" s="6"/>
      <c r="H57" s="6"/>
      <c r="I57" s="6"/>
      <c r="J57" s="6"/>
      <c r="K57" s="6"/>
      <c r="L57" s="6"/>
      <c r="M57" s="6"/>
      <c r="N57" s="6"/>
      <c r="O57" s="6"/>
      <c r="P57" s="6"/>
      <c r="Q57" s="6"/>
      <c r="R57" s="6"/>
      <c r="S57" s="6"/>
      <c r="T57" s="6"/>
      <c r="U57" s="6"/>
      <c r="V57" s="6"/>
      <c r="W57" s="6"/>
      <c r="X57" s="6"/>
      <c r="Y57" s="6"/>
      <c r="Z57" s="6"/>
      <c r="AA57" s="6"/>
      <c r="AB57" s="6"/>
      <c r="AC57" s="6"/>
      <c r="AF57" s="6"/>
    </row>
    <row r="58" spans="1:32" x14ac:dyDescent="0.35">
      <c r="A58" s="6"/>
      <c r="B58" s="6"/>
      <c r="C58" s="6"/>
      <c r="D58" s="6"/>
      <c r="E58" s="6"/>
      <c r="F58" s="6"/>
      <c r="G58" s="6"/>
      <c r="H58" s="6"/>
      <c r="I58" s="6"/>
      <c r="J58" s="6"/>
      <c r="K58" s="6"/>
      <c r="L58" s="6"/>
      <c r="M58" s="6"/>
      <c r="N58" s="6"/>
      <c r="O58" s="6"/>
      <c r="P58" s="6"/>
      <c r="Q58" s="6"/>
      <c r="R58" s="6"/>
      <c r="S58" s="6"/>
      <c r="T58" s="6"/>
      <c r="U58" s="6"/>
      <c r="V58" s="6"/>
      <c r="W58" s="6"/>
      <c r="X58" s="6"/>
      <c r="Y58" s="6"/>
      <c r="Z58" s="6"/>
      <c r="AA58" s="6"/>
      <c r="AB58" s="6"/>
      <c r="AC58" s="6"/>
      <c r="AF58" s="6"/>
    </row>
  </sheetData>
  <mergeCells count="61">
    <mergeCell ref="W10:Y10"/>
    <mergeCell ref="W11:Y11"/>
    <mergeCell ref="W12:Y12"/>
    <mergeCell ref="L1:O1"/>
    <mergeCell ref="L16:O16"/>
    <mergeCell ref="P13:Q13"/>
    <mergeCell ref="P11:Q11"/>
    <mergeCell ref="P12:Q12"/>
    <mergeCell ref="A6:D6"/>
    <mergeCell ref="A7:D7"/>
    <mergeCell ref="A8:D8"/>
    <mergeCell ref="A10:D10"/>
    <mergeCell ref="A11:D11"/>
    <mergeCell ref="A12:D12"/>
    <mergeCell ref="A13:D13"/>
    <mergeCell ref="A14:D14"/>
    <mergeCell ref="A17:D17"/>
    <mergeCell ref="A16:D16"/>
    <mergeCell ref="A2:D2"/>
    <mergeCell ref="A3:D3"/>
    <mergeCell ref="A4:D4"/>
    <mergeCell ref="A5:D5"/>
    <mergeCell ref="A1:D1"/>
    <mergeCell ref="A30:B30"/>
    <mergeCell ref="A31:B31"/>
    <mergeCell ref="A32:B32"/>
    <mergeCell ref="A24:D24"/>
    <mergeCell ref="A27:H27"/>
    <mergeCell ref="A26:D26"/>
    <mergeCell ref="A29:B29"/>
    <mergeCell ref="A28:B28"/>
    <mergeCell ref="A20:D20"/>
    <mergeCell ref="A21:D21"/>
    <mergeCell ref="A23:D23"/>
    <mergeCell ref="A15:K15"/>
    <mergeCell ref="A22:D22"/>
    <mergeCell ref="A19:D19"/>
    <mergeCell ref="A18:D18"/>
    <mergeCell ref="A40:B40"/>
    <mergeCell ref="A41:B41"/>
    <mergeCell ref="A42:B42"/>
    <mergeCell ref="A43:B43"/>
    <mergeCell ref="A33:B33"/>
    <mergeCell ref="A34:B34"/>
    <mergeCell ref="A35:B35"/>
    <mergeCell ref="A36:B36"/>
    <mergeCell ref="A37:B37"/>
    <mergeCell ref="A38:B38"/>
    <mergeCell ref="A39:B39"/>
    <mergeCell ref="A53:B53"/>
    <mergeCell ref="A54:B54"/>
    <mergeCell ref="A55:B55"/>
    <mergeCell ref="A44:B44"/>
    <mergeCell ref="A45:B45"/>
    <mergeCell ref="A46:B46"/>
    <mergeCell ref="A47:B47"/>
    <mergeCell ref="A48:B48"/>
    <mergeCell ref="A49:B49"/>
    <mergeCell ref="A50:B50"/>
    <mergeCell ref="A51:B51"/>
    <mergeCell ref="A52:B52"/>
  </mergeCells>
  <pageMargins left="0.7" right="0.7" top="0.75" bottom="0.75" header="0.3" footer="0.3"/>
  <legacy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4723AA-3A96-4CB6-9FBF-320D1CF0022A}">
  <sheetPr codeName="Leht5"/>
  <dimension ref="A1:W53"/>
  <sheetViews>
    <sheetView zoomScaleNormal="100" workbookViewId="0">
      <selection activeCell="C19" sqref="C19"/>
    </sheetView>
  </sheetViews>
  <sheetFormatPr defaultColWidth="9.1796875" defaultRowHeight="14.5" x14ac:dyDescent="0.35"/>
  <cols>
    <col min="1" max="1" width="50.1796875" style="41" customWidth="1"/>
    <col min="2" max="2" width="11.81640625" style="41" customWidth="1"/>
    <col min="3" max="3" width="14.453125" style="41" customWidth="1"/>
    <col min="4" max="4" width="3.1796875" style="41" customWidth="1"/>
    <col min="5" max="5" width="16.1796875" style="41" customWidth="1"/>
    <col min="6" max="6" width="14.81640625" style="41" customWidth="1"/>
    <col min="7" max="7" width="13.1796875" style="41" customWidth="1"/>
    <col min="8" max="8" width="8.1796875" style="41" customWidth="1"/>
    <col min="9" max="9" width="13.1796875" style="41" customWidth="1"/>
    <col min="10" max="10" width="12.54296875" style="41" customWidth="1"/>
    <col min="11" max="11" width="7.81640625" style="41" customWidth="1"/>
    <col min="12" max="12" width="3.1796875" style="41" customWidth="1"/>
    <col min="13" max="13" width="37.81640625" style="41" customWidth="1"/>
    <col min="14" max="14" width="10.81640625" style="41" customWidth="1"/>
    <col min="15" max="15" width="9.453125" style="41" customWidth="1"/>
    <col min="16" max="16" width="9.1796875" style="41"/>
    <col min="17" max="17" width="9.54296875" style="41" bestFit="1" customWidth="1"/>
    <col min="18" max="16384" width="9.1796875" style="41"/>
  </cols>
  <sheetData>
    <row r="1" spans="1:23" x14ac:dyDescent="0.35">
      <c r="A1" s="161" t="s">
        <v>337</v>
      </c>
      <c r="B1" s="155"/>
      <c r="C1" s="171"/>
      <c r="D1" s="171"/>
      <c r="E1" s="169" t="s">
        <v>338</v>
      </c>
      <c r="F1" s="187" t="s">
        <v>339</v>
      </c>
      <c r="G1" s="155" t="s">
        <v>256</v>
      </c>
      <c r="H1" s="155" t="s">
        <v>257</v>
      </c>
      <c r="I1" s="155" t="s">
        <v>258</v>
      </c>
      <c r="J1" s="155" t="s">
        <v>340</v>
      </c>
      <c r="K1" s="169" t="s">
        <v>341</v>
      </c>
      <c r="L1" s="171"/>
      <c r="M1" s="161" t="s">
        <v>342</v>
      </c>
      <c r="N1" s="186"/>
      <c r="O1" s="171"/>
      <c r="P1" s="171"/>
      <c r="Q1" s="171"/>
      <c r="R1" s="171"/>
      <c r="S1" s="171"/>
      <c r="T1" s="171"/>
      <c r="U1" s="171"/>
      <c r="V1" s="171"/>
      <c r="W1" s="171"/>
    </row>
    <row r="2" spans="1:23" x14ac:dyDescent="0.35">
      <c r="A2" s="155" t="s">
        <v>343</v>
      </c>
      <c r="B2" s="163">
        <f>Sisend!B5</f>
        <v>5000</v>
      </c>
      <c r="C2" s="171"/>
      <c r="D2" s="171"/>
      <c r="E2" s="242" t="s">
        <v>344</v>
      </c>
      <c r="F2" s="247">
        <f>IF(F33&lt;50,0,IF(F33&lt;100,1,IF(F33&lt;300,2,3)))</f>
        <v>0</v>
      </c>
      <c r="G2" s="241"/>
      <c r="H2" s="241"/>
      <c r="I2" s="241"/>
      <c r="J2" s="241"/>
      <c r="K2" s="241"/>
      <c r="L2" s="171"/>
      <c r="M2" s="155" t="s">
        <v>345</v>
      </c>
      <c r="N2" s="164">
        <f>B3*O2</f>
        <v>191.75</v>
      </c>
      <c r="O2" s="215">
        <f>Parameetrid!I17</f>
        <v>0.59</v>
      </c>
      <c r="P2" s="171"/>
      <c r="Q2" s="171"/>
      <c r="R2" s="171"/>
      <c r="S2" s="171"/>
      <c r="T2" s="171"/>
      <c r="U2" s="171"/>
      <c r="V2" s="171"/>
      <c r="W2" s="171"/>
    </row>
    <row r="3" spans="1:23" x14ac:dyDescent="0.35">
      <c r="A3" s="155" t="s">
        <v>346</v>
      </c>
      <c r="B3" s="163">
        <f>Sisend!C15*B2</f>
        <v>325</v>
      </c>
      <c r="C3" s="171"/>
      <c r="D3" s="171"/>
      <c r="E3" s="242" t="s">
        <v>347</v>
      </c>
      <c r="F3" s="247">
        <f>IF(G33&lt;100,0,IF(G33&lt;300,1,IF(G33&lt;800,2,3)))</f>
        <v>0</v>
      </c>
      <c r="G3" s="241"/>
      <c r="H3" s="241"/>
      <c r="I3" s="241"/>
      <c r="J3" s="241"/>
      <c r="K3" s="241"/>
      <c r="L3" s="171"/>
      <c r="M3" s="155" t="s">
        <v>348</v>
      </c>
      <c r="N3" s="164">
        <f>B4*O3</f>
        <v>2343.7462907556533</v>
      </c>
      <c r="O3" s="215">
        <f>Parameetrid!I16</f>
        <v>0.61</v>
      </c>
      <c r="P3" s="171"/>
      <c r="Q3" s="171"/>
      <c r="R3" s="171"/>
      <c r="S3" s="171"/>
      <c r="T3" s="171"/>
      <c r="U3" s="171"/>
      <c r="V3" s="171"/>
      <c r="W3" s="171"/>
    </row>
    <row r="4" spans="1:23" x14ac:dyDescent="0.35">
      <c r="A4" s="155" t="s">
        <v>349</v>
      </c>
      <c r="B4" s="163">
        <f>Sisend!C16*B2</f>
        <v>3842.207034025661</v>
      </c>
      <c r="C4" s="171"/>
      <c r="D4" s="171"/>
      <c r="E4" s="242" t="s">
        <v>255</v>
      </c>
      <c r="F4" s="241"/>
      <c r="G4" s="247">
        <f>IF(B3*N17&lt;100,0,IF(B3*N17&lt;500,1,2))</f>
        <v>1</v>
      </c>
      <c r="H4" s="241"/>
      <c r="I4" s="241"/>
      <c r="J4" s="241"/>
      <c r="K4" s="241"/>
      <c r="L4" s="171"/>
      <c r="M4" s="252"/>
      <c r="N4" s="170" t="s">
        <v>178</v>
      </c>
      <c r="O4" s="51" t="s">
        <v>277</v>
      </c>
      <c r="P4" s="193" t="s">
        <v>350</v>
      </c>
      <c r="Q4" s="171"/>
      <c r="R4" s="171"/>
      <c r="S4" s="171"/>
      <c r="T4" s="171"/>
      <c r="U4" s="171"/>
      <c r="V4" s="171"/>
      <c r="W4" s="171"/>
    </row>
    <row r="5" spans="1:23" x14ac:dyDescent="0.35">
      <c r="A5" s="155" t="s">
        <v>351</v>
      </c>
      <c r="B5" s="163">
        <f>Parameetrid!B31</f>
        <v>6388</v>
      </c>
      <c r="C5" s="171"/>
      <c r="D5" s="171"/>
      <c r="E5" s="242" t="s">
        <v>352</v>
      </c>
      <c r="F5" s="241"/>
      <c r="G5" s="247">
        <f>IF(B13&lt;500000,0,IF(B13&lt;=2500000,1,2))</f>
        <v>0</v>
      </c>
      <c r="H5" s="241"/>
      <c r="I5" s="241"/>
      <c r="J5" s="241"/>
      <c r="K5" s="241"/>
      <c r="L5" s="171"/>
      <c r="M5" s="155" t="s">
        <v>353</v>
      </c>
      <c r="N5" s="211">
        <f>N2*P5</f>
        <v>97.792500000000004</v>
      </c>
      <c r="O5" s="211">
        <f>(N2+N3)*P5</f>
        <v>1293.1031082853831</v>
      </c>
      <c r="P5" s="215">
        <v>0.51</v>
      </c>
      <c r="Q5" s="171"/>
      <c r="R5" s="171"/>
      <c r="S5" s="171"/>
      <c r="T5" s="171"/>
      <c r="U5" s="171"/>
      <c r="V5" s="171"/>
      <c r="W5" s="171"/>
    </row>
    <row r="6" spans="1:23" x14ac:dyDescent="0.35">
      <c r="A6" s="155" t="s">
        <v>81</v>
      </c>
      <c r="B6" s="88">
        <f>Parameetrid!B25</f>
        <v>4</v>
      </c>
      <c r="C6" s="205"/>
      <c r="D6" s="171"/>
      <c r="E6" s="242" t="s">
        <v>354</v>
      </c>
      <c r="F6" s="241"/>
      <c r="G6" s="234">
        <f>IF(B12&lt;10000,0,1)</f>
        <v>1</v>
      </c>
      <c r="H6" s="241"/>
      <c r="I6" s="241"/>
      <c r="J6" s="241"/>
      <c r="K6" s="241"/>
      <c r="L6" s="171"/>
      <c r="M6" s="155" t="s">
        <v>355</v>
      </c>
      <c r="N6" s="211">
        <f>N2*P6</f>
        <v>44.102499999999999</v>
      </c>
      <c r="O6" s="171"/>
      <c r="P6" s="215">
        <v>0.23</v>
      </c>
      <c r="Q6" s="180" t="s">
        <v>356</v>
      </c>
      <c r="R6" s="171"/>
      <c r="S6" s="171"/>
      <c r="T6" s="171"/>
      <c r="U6" s="171"/>
      <c r="V6" s="171"/>
      <c r="W6" s="171"/>
    </row>
    <row r="7" spans="1:23" x14ac:dyDescent="0.35">
      <c r="A7" s="155" t="s">
        <v>357</v>
      </c>
      <c r="B7" s="88">
        <f>Parameetrid!B26</f>
        <v>4</v>
      </c>
      <c r="C7" s="155" t="s">
        <v>358</v>
      </c>
      <c r="D7" s="171"/>
      <c r="E7" s="242" t="s">
        <v>359</v>
      </c>
      <c r="F7" s="241"/>
      <c r="G7" s="241"/>
      <c r="H7" s="247">
        <f>IF(Parameetrid!Q57=2,1,0)</f>
        <v>0</v>
      </c>
      <c r="I7" s="241"/>
      <c r="J7" s="241"/>
      <c r="K7" s="241"/>
      <c r="L7" s="171"/>
      <c r="M7" s="155" t="s">
        <v>360</v>
      </c>
      <c r="N7" s="211">
        <f>N2*P7</f>
        <v>36.432499999999997</v>
      </c>
      <c r="O7" s="171"/>
      <c r="P7" s="215">
        <v>0.19</v>
      </c>
      <c r="Q7" s="243">
        <f>(P6+(P7*0.5))*P5</f>
        <v>0.16575000000000001</v>
      </c>
      <c r="R7" s="171"/>
      <c r="S7" s="171"/>
      <c r="T7" s="171"/>
      <c r="U7" s="171"/>
      <c r="V7" s="171"/>
      <c r="W7" s="171"/>
    </row>
    <row r="8" spans="1:23" x14ac:dyDescent="0.35">
      <c r="A8" s="155" t="s">
        <v>84</v>
      </c>
      <c r="B8" s="191">
        <f>Sisend!C48</f>
        <v>51153.167000000001</v>
      </c>
      <c r="C8" s="325">
        <f>Sisend!D35/Sisend!D31</f>
        <v>0.10100000000000001</v>
      </c>
      <c r="D8" s="171"/>
      <c r="E8" s="155" t="s">
        <v>361</v>
      </c>
      <c r="F8" s="180"/>
      <c r="G8" s="180"/>
      <c r="H8" s="234">
        <f>IF(B6*Parameetrid!T59&gt;=3,1,IF(B6*Parameetrid!T59&gt;=6,2,0))</f>
        <v>1</v>
      </c>
      <c r="I8" s="180"/>
      <c r="J8" s="180"/>
      <c r="K8" s="180"/>
      <c r="L8" s="171"/>
      <c r="M8" s="171"/>
      <c r="N8" s="171"/>
      <c r="O8" s="171"/>
      <c r="P8" s="171"/>
      <c r="Q8" s="171"/>
      <c r="R8" s="171"/>
      <c r="S8" s="171"/>
      <c r="T8" s="171"/>
      <c r="U8" s="171"/>
      <c r="V8" s="171"/>
      <c r="W8" s="171"/>
    </row>
    <row r="9" spans="1:23" x14ac:dyDescent="0.35">
      <c r="A9" s="155" t="s">
        <v>83</v>
      </c>
      <c r="B9" s="191">
        <f>Sisend!C47</f>
        <v>0</v>
      </c>
      <c r="C9" s="186"/>
      <c r="D9" s="171"/>
      <c r="E9" s="155" t="s">
        <v>258</v>
      </c>
      <c r="F9" s="180"/>
      <c r="G9" s="180"/>
      <c r="H9" s="180"/>
      <c r="I9" s="234">
        <f>IF(B11&lt;100000,0,IF(B11&lt;500000,1,IF(B11&lt;5000000,2,IF(I29&lt;=25000000,3,4))))</f>
        <v>0</v>
      </c>
      <c r="J9" s="180"/>
      <c r="K9" s="180"/>
      <c r="L9" s="171"/>
      <c r="M9" s="62"/>
      <c r="N9" s="54" t="s">
        <v>277</v>
      </c>
      <c r="O9" s="54" t="s">
        <v>178</v>
      </c>
      <c r="P9" s="171"/>
      <c r="Q9" s="171"/>
      <c r="R9" s="171"/>
      <c r="S9" s="171"/>
      <c r="T9" s="171"/>
      <c r="U9" s="171"/>
      <c r="V9" s="171"/>
      <c r="W9" s="171"/>
    </row>
    <row r="10" spans="1:23" ht="14.15" customHeight="1" x14ac:dyDescent="0.35">
      <c r="A10" s="155" t="s">
        <v>244</v>
      </c>
      <c r="B10" s="88">
        <f>Parameetrid!B27</f>
        <v>2</v>
      </c>
      <c r="C10" s="170" t="s">
        <v>362</v>
      </c>
      <c r="D10" s="171"/>
      <c r="E10" s="155" t="s">
        <v>340</v>
      </c>
      <c r="F10" s="180"/>
      <c r="G10" s="180"/>
      <c r="H10" s="180"/>
      <c r="I10" s="180"/>
      <c r="J10" s="234">
        <f>IF(J29&lt;500,0,IF(J29&lt;1000,1,IF(J29&lt;3000,2,3)))</f>
        <v>0</v>
      </c>
      <c r="K10" s="180"/>
      <c r="L10" s="171"/>
      <c r="M10" s="54" t="s">
        <v>363</v>
      </c>
      <c r="N10" s="203">
        <f>(kuv_arvutused!N2+kuv_arvutused!N3)</f>
        <v>2535.4962907556533</v>
      </c>
      <c r="O10" s="203">
        <f>kuv_arvutused!N2</f>
        <v>191.75</v>
      </c>
      <c r="P10" s="171"/>
      <c r="Q10" s="171"/>
      <c r="R10" s="171"/>
      <c r="S10" s="171"/>
      <c r="T10" s="171"/>
      <c r="U10" s="171"/>
      <c r="V10" s="171"/>
      <c r="W10" s="171"/>
    </row>
    <row r="11" spans="1:23" x14ac:dyDescent="0.35">
      <c r="A11" s="155" t="s">
        <v>364</v>
      </c>
      <c r="B11" s="163">
        <f>Sisend!C49</f>
        <v>39</v>
      </c>
      <c r="C11" s="132">
        <f>0.00005*Parameetrid!T59</f>
        <v>5.0000000000000002E-5</v>
      </c>
      <c r="D11" s="171"/>
      <c r="E11" s="248" t="s">
        <v>365</v>
      </c>
      <c r="F11" s="261">
        <f>SUM(F2:F10)</f>
        <v>0</v>
      </c>
      <c r="G11" s="261">
        <f>SUM(G2:G10)</f>
        <v>2</v>
      </c>
      <c r="H11" s="261">
        <f>SUM(H2:H10)</f>
        <v>1</v>
      </c>
      <c r="I11" s="261">
        <f>SUM(I2:I10)</f>
        <v>0</v>
      </c>
      <c r="J11" s="261">
        <f>SUM(J2:J10)</f>
        <v>0</v>
      </c>
      <c r="K11" s="260">
        <f>SUM(F11:J11)</f>
        <v>3</v>
      </c>
      <c r="L11" s="171"/>
      <c r="M11" s="54" t="s">
        <v>359</v>
      </c>
      <c r="N11" s="124">
        <f>IF(Parameetrid!Q57=0,1,IF(Parameetrid!Q57=1,1.5,IF(Parameetrid!Q57=2,2)))</f>
        <v>1.5</v>
      </c>
      <c r="O11" s="124">
        <f>IF(Parameetrid!Q57&lt;=1,1,IF(Parameetrid!Q57=2,2))</f>
        <v>1</v>
      </c>
      <c r="P11" s="171"/>
      <c r="Q11" s="171"/>
      <c r="R11" s="171"/>
      <c r="S11" s="171"/>
      <c r="T11" s="171"/>
      <c r="U11" s="171"/>
      <c r="V11" s="171"/>
      <c r="W11" s="171"/>
    </row>
    <row r="12" spans="1:23" x14ac:dyDescent="0.35">
      <c r="A12" s="155" t="s">
        <v>366</v>
      </c>
      <c r="B12" s="207">
        <f>Sisend!C50</f>
        <v>21601</v>
      </c>
      <c r="C12" s="132">
        <f>0.001*Parameetrid!T59</f>
        <v>1E-3</v>
      </c>
      <c r="D12" s="171"/>
      <c r="E12" s="155" t="s">
        <v>367</v>
      </c>
      <c r="F12" s="180">
        <v>6</v>
      </c>
      <c r="G12" s="180">
        <v>5</v>
      </c>
      <c r="H12" s="180">
        <v>3</v>
      </c>
      <c r="I12" s="180">
        <v>4</v>
      </c>
      <c r="J12" s="180">
        <v>3</v>
      </c>
      <c r="K12" s="249">
        <f>SUM(F12:J12)</f>
        <v>21</v>
      </c>
      <c r="L12" s="172"/>
      <c r="M12" s="171"/>
      <c r="N12" s="171"/>
      <c r="O12" s="171"/>
      <c r="P12" s="171"/>
      <c r="Q12" s="171"/>
      <c r="R12" s="171"/>
      <c r="S12" s="171"/>
      <c r="T12" s="171"/>
      <c r="U12" s="171"/>
      <c r="V12" s="171"/>
      <c r="W12" s="171"/>
    </row>
    <row r="13" spans="1:23" x14ac:dyDescent="0.35">
      <c r="A13" s="51" t="s">
        <v>368</v>
      </c>
      <c r="B13" s="208">
        <f>IF(Sisend!B7="Osaluspõhine spordisündmus",0,VLOOKUP(Sisend!C51,Parameetrid!P59:Q64,2,FALSE))</f>
        <v>0</v>
      </c>
      <c r="C13" s="132">
        <f>0.0001*Parameetrid!T59</f>
        <v>1E-4</v>
      </c>
      <c r="D13" s="171"/>
      <c r="E13" s="171"/>
      <c r="F13" s="171"/>
      <c r="G13" s="171" t="s">
        <v>10</v>
      </c>
      <c r="H13" s="171"/>
      <c r="I13" s="246"/>
      <c r="J13" s="188"/>
      <c r="K13" s="238"/>
      <c r="L13" s="172"/>
      <c r="M13" s="155" t="s">
        <v>369</v>
      </c>
      <c r="N13" s="235">
        <v>2.38</v>
      </c>
      <c r="O13" s="171"/>
      <c r="P13" s="171"/>
      <c r="Q13" s="171"/>
      <c r="R13" s="171"/>
      <c r="S13" s="171"/>
      <c r="T13" s="171"/>
      <c r="U13" s="171"/>
      <c r="V13" s="171"/>
      <c r="W13" s="171"/>
    </row>
    <row r="14" spans="1:23" x14ac:dyDescent="0.35">
      <c r="A14" s="155" t="s">
        <v>370</v>
      </c>
      <c r="B14" s="185">
        <f>Parameetrid!H31</f>
        <v>0</v>
      </c>
      <c r="C14" s="349"/>
      <c r="D14" s="171"/>
      <c r="E14" s="169" t="s">
        <v>371</v>
      </c>
      <c r="F14" s="187" t="s">
        <v>339</v>
      </c>
      <c r="G14" s="155" t="s">
        <v>256</v>
      </c>
      <c r="H14" s="155" t="s">
        <v>257</v>
      </c>
      <c r="I14" s="155" t="s">
        <v>258</v>
      </c>
      <c r="J14" s="155" t="s">
        <v>340</v>
      </c>
      <c r="K14" s="169" t="s">
        <v>341</v>
      </c>
      <c r="L14" s="171"/>
      <c r="M14" s="155" t="s">
        <v>372</v>
      </c>
      <c r="N14" s="211">
        <f>B9/N13</f>
        <v>0</v>
      </c>
      <c r="O14" s="171"/>
      <c r="P14" s="171"/>
      <c r="Q14" s="171"/>
      <c r="R14" s="171"/>
      <c r="S14" s="171"/>
      <c r="T14" s="171"/>
      <c r="U14" s="171"/>
      <c r="V14" s="171"/>
      <c r="W14" s="171"/>
    </row>
    <row r="15" spans="1:23" x14ac:dyDescent="0.35">
      <c r="A15" s="155" t="s">
        <v>90</v>
      </c>
      <c r="B15" s="88">
        <f>Parameetrid!Q57</f>
        <v>1</v>
      </c>
      <c r="C15" s="350"/>
      <c r="D15" s="171"/>
      <c r="E15" s="242" t="s">
        <v>344</v>
      </c>
      <c r="F15" s="247">
        <f>IF(F32*'KOV-id'!F6&lt;50,0,IF(F32*'KOV-id'!F6&lt;100,1,IF(F32*'KOV-id'!F6&lt;300,2,3)))</f>
        <v>3</v>
      </c>
      <c r="G15" s="241"/>
      <c r="H15" s="241"/>
      <c r="I15" s="241"/>
      <c r="J15" s="241"/>
      <c r="K15" s="241"/>
      <c r="L15" s="171"/>
      <c r="M15" s="155" t="s">
        <v>373</v>
      </c>
      <c r="N15" s="211">
        <f>B8/N13</f>
        <v>21492.92731092437</v>
      </c>
      <c r="O15" s="236"/>
      <c r="P15" s="171"/>
      <c r="Q15" s="171"/>
      <c r="R15" s="171"/>
      <c r="S15" s="171"/>
      <c r="T15" s="171"/>
      <c r="U15" s="171"/>
      <c r="V15" s="171"/>
      <c r="W15" s="171"/>
    </row>
    <row r="16" spans="1:23" x14ac:dyDescent="0.35">
      <c r="A16" s="155" t="s">
        <v>28</v>
      </c>
      <c r="B16" s="88">
        <f>Parameetrid!U24</f>
        <v>4</v>
      </c>
      <c r="C16" s="350"/>
      <c r="D16" s="171"/>
      <c r="E16" s="242" t="s">
        <v>347</v>
      </c>
      <c r="F16" s="247">
        <f>IF(G32*'KOV-id'!F6&lt;100,0,IF(G32*'KOV-id'!F6&lt;300,1,IF(G32*'KOV-id'!F6&lt;900,2,3)))</f>
        <v>3</v>
      </c>
      <c r="G16" s="241"/>
      <c r="H16" s="241"/>
      <c r="I16" s="241"/>
      <c r="J16" s="241"/>
      <c r="K16" s="241"/>
      <c r="L16" s="171"/>
      <c r="M16" s="171"/>
      <c r="N16" s="171"/>
      <c r="O16" s="236"/>
      <c r="P16" s="171"/>
      <c r="Q16" s="171"/>
      <c r="R16" s="171"/>
      <c r="S16" s="171"/>
      <c r="T16" s="171"/>
      <c r="U16" s="171"/>
      <c r="V16" s="171"/>
      <c r="W16" s="171"/>
    </row>
    <row r="17" spans="1:23" x14ac:dyDescent="0.35">
      <c r="A17" s="171"/>
      <c r="B17" s="171"/>
      <c r="C17" s="171"/>
      <c r="D17" s="171"/>
      <c r="E17" s="242" t="s">
        <v>255</v>
      </c>
      <c r="F17" s="241"/>
      <c r="G17" s="247">
        <f>IF((B3+B4)*N17*'KOV-id'!F6&lt;200,0,IF((B3+B4)*N17*'KOV-id'!F6&lt;600,1,2))</f>
        <v>2</v>
      </c>
      <c r="H17" s="241"/>
      <c r="I17" s="241"/>
      <c r="J17" s="241"/>
      <c r="K17" s="241"/>
      <c r="L17" s="171"/>
      <c r="M17" s="242" t="s">
        <v>374</v>
      </c>
      <c r="N17" s="243">
        <v>0.67</v>
      </c>
      <c r="O17" s="171"/>
      <c r="P17" s="171"/>
      <c r="Q17" s="171"/>
      <c r="R17" s="171"/>
      <c r="S17" s="171"/>
      <c r="T17" s="171"/>
      <c r="U17" s="171"/>
      <c r="V17" s="171"/>
      <c r="W17" s="171"/>
    </row>
    <row r="18" spans="1:23" x14ac:dyDescent="0.35">
      <c r="A18" s="161" t="s">
        <v>375</v>
      </c>
      <c r="B18" s="155"/>
      <c r="C18" s="171"/>
      <c r="D18" s="171"/>
      <c r="E18" s="242" t="s">
        <v>352</v>
      </c>
      <c r="F18" s="241"/>
      <c r="G18" s="247">
        <f>IF(B13*'KOV-id'!F6&lt;500000,0,IF(B13*'KOV-id'!F6&lt;=2500000,1,2))</f>
        <v>0</v>
      </c>
      <c r="H18" s="241"/>
      <c r="I18" s="241"/>
      <c r="J18" s="241"/>
      <c r="K18" s="241"/>
      <c r="L18" s="171"/>
      <c r="M18" s="171"/>
      <c r="N18" s="171"/>
      <c r="O18" s="171"/>
      <c r="P18" s="171"/>
      <c r="Q18" s="171"/>
      <c r="R18" s="171"/>
      <c r="S18" s="171"/>
      <c r="T18" s="171"/>
      <c r="U18" s="171"/>
      <c r="V18" s="171"/>
      <c r="W18" s="171"/>
    </row>
    <row r="19" spans="1:23" x14ac:dyDescent="0.35">
      <c r="A19" s="155" t="s">
        <v>160</v>
      </c>
      <c r="B19" s="216">
        <f>IF(K11&lt;3,0,IF(K11&lt;6,1,IF(K11&lt;9,2,IF(K11&lt;12,3,IF(K11&lt;16,4,5)))))</f>
        <v>1</v>
      </c>
      <c r="C19" s="171"/>
      <c r="D19" s="171"/>
      <c r="E19" s="242" t="s">
        <v>354</v>
      </c>
      <c r="F19" s="241"/>
      <c r="G19" s="234">
        <f>IF(B12*'KOV-id'!F6&lt;10000,0,1)</f>
        <v>1</v>
      </c>
      <c r="H19" s="241"/>
      <c r="I19" s="241"/>
      <c r="J19" s="241"/>
      <c r="K19" s="241"/>
      <c r="L19" s="171"/>
      <c r="M19" s="171"/>
      <c r="N19" s="171"/>
      <c r="O19" s="171"/>
      <c r="P19" s="171"/>
      <c r="Q19" s="171"/>
      <c r="R19" s="171"/>
      <c r="S19" s="171"/>
      <c r="T19" s="171"/>
      <c r="U19" s="171"/>
      <c r="V19" s="171"/>
      <c r="W19" s="171"/>
    </row>
    <row r="20" spans="1:23" x14ac:dyDescent="0.35">
      <c r="A20" s="155" t="s">
        <v>161</v>
      </c>
      <c r="B20" s="216">
        <f>IF(K24&lt;3,0,IF(K24&lt;6,1,IF(K24&lt;9,2,IF(K24&lt;12,3,IF(K24&lt;16,4,5)))))</f>
        <v>4</v>
      </c>
      <c r="C20" s="171"/>
      <c r="D20" s="171"/>
      <c r="E20" s="283" t="s">
        <v>359</v>
      </c>
      <c r="F20" s="241"/>
      <c r="G20" s="241"/>
      <c r="H20" s="247">
        <f>Parameetrid!Q57</f>
        <v>1</v>
      </c>
      <c r="I20" s="241"/>
      <c r="J20" s="241"/>
      <c r="K20" s="241"/>
      <c r="L20" s="171"/>
      <c r="M20" s="171"/>
      <c r="N20" s="171"/>
      <c r="O20" s="171"/>
      <c r="P20" s="171"/>
      <c r="Q20" s="171"/>
      <c r="R20" s="171"/>
      <c r="S20" s="171"/>
      <c r="T20" s="171"/>
      <c r="U20" s="171"/>
      <c r="V20" s="171"/>
      <c r="W20" s="171"/>
    </row>
    <row r="21" spans="1:23" x14ac:dyDescent="0.35">
      <c r="A21" s="155" t="s">
        <v>162</v>
      </c>
      <c r="B21" s="216">
        <f>IF(H33&lt;100,0,IF(H33&lt;300,1,IF(H33&lt;800,2,IF(H33&lt;1500,3,IF(H33&lt;3000,4,IF(H33&gt;=3000,5))))))</f>
        <v>1</v>
      </c>
      <c r="C21" s="171"/>
      <c r="D21" s="171"/>
      <c r="E21" s="155" t="s">
        <v>361</v>
      </c>
      <c r="F21" s="180"/>
      <c r="G21" s="180"/>
      <c r="H21" s="234">
        <f>IF(B6*Parameetrid!T59&gt;=2,1,IF(B6*Parameetrid!T59&gt;=5,2,0))</f>
        <v>1</v>
      </c>
      <c r="I21" s="180"/>
      <c r="J21" s="180"/>
      <c r="K21" s="180"/>
      <c r="L21" s="171"/>
      <c r="M21" s="171"/>
      <c r="N21" s="171"/>
      <c r="O21" s="171"/>
      <c r="P21" s="171"/>
      <c r="Q21" s="171"/>
      <c r="R21" s="171"/>
      <c r="S21" s="171"/>
      <c r="T21" s="171"/>
      <c r="U21" s="171"/>
      <c r="V21" s="171"/>
      <c r="W21" s="171"/>
    </row>
    <row r="22" spans="1:23" x14ac:dyDescent="0.35">
      <c r="A22" s="155" t="s">
        <v>163</v>
      </c>
      <c r="B22" s="216">
        <f>IF(H32*'KOV-id'!F6&lt;100,0,IF(H32*'KOV-id'!F6&lt;300,1,IF(H32*'KOV-id'!F6&lt;800,2,IF(H32*'KOV-id'!F6&lt;1500,3,IF(H32*'KOV-id'!F6&lt;3000,4,IF(H32*'KOV-id'!F6&gt;=3000,5))))))</f>
        <v>5</v>
      </c>
      <c r="C22" s="171"/>
      <c r="D22" s="171"/>
      <c r="E22" s="170" t="s">
        <v>258</v>
      </c>
      <c r="F22" s="180"/>
      <c r="G22" s="180"/>
      <c r="H22" s="180"/>
      <c r="I22" s="234">
        <f>IF(B11*'KOV-id'!F6&lt;100000,0,IF(B11*'KOV-id'!F6&lt;500000,1,IF(B11*'KOV-id'!F6&lt;5000000,2,IF(B11*'KOV-id'!F6&lt;25000000,3,4))))</f>
        <v>0</v>
      </c>
      <c r="J22" s="180"/>
      <c r="K22" s="180"/>
      <c r="L22" s="171"/>
      <c r="M22" s="171"/>
      <c r="N22" s="171"/>
      <c r="O22" s="171"/>
      <c r="P22" s="171"/>
      <c r="Q22" s="171"/>
      <c r="R22" s="171"/>
      <c r="S22" s="171"/>
      <c r="T22" s="171"/>
      <c r="U22" s="171"/>
      <c r="V22" s="171"/>
      <c r="W22" s="171"/>
    </row>
    <row r="23" spans="1:23" x14ac:dyDescent="0.35">
      <c r="A23" s="171"/>
      <c r="B23" s="171"/>
      <c r="C23" s="171"/>
      <c r="D23" s="171"/>
      <c r="E23" s="155" t="s">
        <v>340</v>
      </c>
      <c r="F23" s="180"/>
      <c r="G23" s="180"/>
      <c r="H23" s="180"/>
      <c r="I23" s="180"/>
      <c r="J23" s="234">
        <f>IF(J28&lt;500,0,IF(J28&lt;1000,1,IF(J28&lt;3000,2,3)))</f>
        <v>3</v>
      </c>
      <c r="K23" s="180"/>
      <c r="L23" s="171"/>
      <c r="M23" s="171"/>
      <c r="N23" s="171"/>
      <c r="O23" s="171"/>
      <c r="P23" s="171"/>
      <c r="Q23" s="171"/>
      <c r="R23" s="171"/>
      <c r="S23" s="171"/>
      <c r="T23" s="171"/>
      <c r="U23" s="171"/>
      <c r="V23" s="171"/>
      <c r="W23" s="171"/>
    </row>
    <row r="24" spans="1:23" x14ac:dyDescent="0.35">
      <c r="A24" s="171"/>
      <c r="B24" s="171"/>
      <c r="C24" s="171"/>
      <c r="D24" s="171"/>
      <c r="E24" s="248" t="s">
        <v>365</v>
      </c>
      <c r="F24" s="261">
        <f>SUM(F15:F23)</f>
        <v>6</v>
      </c>
      <c r="G24" s="261">
        <f>SUM(G15:G23)</f>
        <v>3</v>
      </c>
      <c r="H24" s="261">
        <f>SUM(H15:H23)</f>
        <v>2</v>
      </c>
      <c r="I24" s="261">
        <f>SUM(I15:I23)</f>
        <v>0</v>
      </c>
      <c r="J24" s="261">
        <f>SUM(J15:J23)</f>
        <v>3</v>
      </c>
      <c r="K24" s="260">
        <f>SUM(F24:J24)</f>
        <v>14</v>
      </c>
      <c r="L24" s="171"/>
      <c r="M24" s="171"/>
      <c r="N24" s="171"/>
      <c r="O24" s="171"/>
      <c r="P24" s="171"/>
      <c r="Q24" s="171"/>
      <c r="R24" s="171"/>
      <c r="S24" s="171"/>
      <c r="T24" s="171"/>
      <c r="U24" s="171"/>
      <c r="V24" s="171"/>
      <c r="W24" s="171"/>
    </row>
    <row r="25" spans="1:23" x14ac:dyDescent="0.35">
      <c r="A25" s="171"/>
      <c r="B25" s="171"/>
      <c r="C25" s="171"/>
      <c r="D25" s="171"/>
      <c r="E25" s="155" t="s">
        <v>367</v>
      </c>
      <c r="F25" s="180">
        <v>6</v>
      </c>
      <c r="G25" s="180">
        <v>5</v>
      </c>
      <c r="H25" s="180">
        <v>4</v>
      </c>
      <c r="I25" s="180">
        <v>4</v>
      </c>
      <c r="J25" s="180">
        <v>3</v>
      </c>
      <c r="K25" s="249">
        <f>SUM(F25:J25)</f>
        <v>22</v>
      </c>
      <c r="L25" s="171"/>
      <c r="M25" s="171"/>
      <c r="N25" s="171"/>
      <c r="O25" s="171"/>
      <c r="P25" s="171"/>
      <c r="Q25" s="171"/>
      <c r="R25" s="171"/>
      <c r="S25" s="171"/>
      <c r="T25" s="171"/>
      <c r="U25" s="171"/>
      <c r="V25" s="171"/>
      <c r="W25" s="171"/>
    </row>
    <row r="26" spans="1:23" x14ac:dyDescent="0.35">
      <c r="A26" s="171"/>
      <c r="B26" s="171"/>
      <c r="C26" s="171"/>
      <c r="D26" s="171"/>
      <c r="E26" s="171"/>
      <c r="F26" s="171"/>
      <c r="G26" s="171"/>
      <c r="H26" s="171"/>
      <c r="I26" s="171"/>
      <c r="J26" s="171"/>
      <c r="K26" s="171"/>
      <c r="L26" s="171"/>
      <c r="M26" s="171"/>
      <c r="N26" s="171"/>
      <c r="O26" s="171"/>
      <c r="P26" s="171"/>
      <c r="Q26" s="171"/>
      <c r="R26" s="171"/>
      <c r="S26" s="171"/>
      <c r="T26" s="171"/>
      <c r="U26" s="171"/>
      <c r="V26" s="171"/>
      <c r="W26" s="171"/>
    </row>
    <row r="27" spans="1:23" x14ac:dyDescent="0.35">
      <c r="A27" s="171"/>
      <c r="B27" s="171"/>
      <c r="C27" s="171"/>
      <c r="D27" s="171"/>
      <c r="E27" s="169" t="s">
        <v>376</v>
      </c>
      <c r="F27" s="187" t="s">
        <v>363</v>
      </c>
      <c r="G27" s="155" t="s">
        <v>256</v>
      </c>
      <c r="H27" s="155" t="s">
        <v>257</v>
      </c>
      <c r="I27" s="155" t="s">
        <v>258</v>
      </c>
      <c r="J27" s="155" t="s">
        <v>340</v>
      </c>
      <c r="K27" s="206"/>
      <c r="L27" s="171"/>
      <c r="M27" s="171"/>
      <c r="N27" s="171"/>
      <c r="O27" s="171"/>
      <c r="P27" s="171"/>
      <c r="Q27" s="171"/>
      <c r="R27" s="171"/>
      <c r="S27" s="171"/>
      <c r="T27" s="171"/>
      <c r="U27" s="171"/>
      <c r="V27" s="171"/>
      <c r="W27" s="171"/>
    </row>
    <row r="28" spans="1:23" x14ac:dyDescent="0.35">
      <c r="A28" s="171"/>
      <c r="B28" s="171"/>
      <c r="C28" s="171"/>
      <c r="D28" s="171"/>
      <c r="E28" s="155" t="s">
        <v>277</v>
      </c>
      <c r="F28" s="239">
        <f>(F32+G32)</f>
        <v>1193.5709757964783</v>
      </c>
      <c r="G28" s="240">
        <f>(B12+B13+(B4+B3)*N17*100)</f>
        <v>300803.87127971934</v>
      </c>
      <c r="H28" s="136">
        <f>B15+1</f>
        <v>2</v>
      </c>
      <c r="I28" s="240">
        <f>B11*Parameetrid!T59</f>
        <v>39</v>
      </c>
      <c r="J28" s="239">
        <f>(N15+N14)</f>
        <v>21492.92731092437</v>
      </c>
      <c r="K28" s="188"/>
      <c r="L28" s="171"/>
      <c r="M28" s="171"/>
      <c r="N28" s="171"/>
      <c r="O28" s="171"/>
      <c r="P28" s="171"/>
      <c r="Q28" s="171"/>
      <c r="R28" s="171"/>
      <c r="S28" s="171"/>
      <c r="T28" s="171"/>
      <c r="U28" s="171"/>
      <c r="V28" s="171"/>
      <c r="W28" s="171"/>
    </row>
    <row r="29" spans="1:23" x14ac:dyDescent="0.35">
      <c r="A29" s="171"/>
      <c r="B29" s="171"/>
      <c r="C29" s="171"/>
      <c r="D29" s="171"/>
      <c r="E29" s="155" t="s">
        <v>178</v>
      </c>
      <c r="F29" s="239">
        <f>F33+G33</f>
        <v>104.56463062499999</v>
      </c>
      <c r="G29" s="244">
        <f>(B12+B13+B3*N17*100)</f>
        <v>43376</v>
      </c>
      <c r="H29" s="136">
        <f>B15</f>
        <v>1</v>
      </c>
      <c r="I29" s="240">
        <f>B11*Parameetrid!T59</f>
        <v>39</v>
      </c>
      <c r="J29" s="239">
        <f>N14</f>
        <v>0</v>
      </c>
      <c r="K29" s="251"/>
      <c r="L29" s="171"/>
      <c r="M29" s="171"/>
      <c r="N29" s="171"/>
      <c r="O29" s="171"/>
      <c r="P29" s="171"/>
      <c r="Q29" s="171"/>
      <c r="R29" s="171"/>
      <c r="S29" s="171"/>
      <c r="T29" s="171"/>
      <c r="U29" s="171"/>
      <c r="V29" s="171"/>
      <c r="W29" s="171"/>
    </row>
    <row r="30" spans="1:23" x14ac:dyDescent="0.35">
      <c r="A30" s="171"/>
      <c r="B30" s="171"/>
      <c r="C30" s="171"/>
      <c r="D30" s="171"/>
      <c r="E30" s="245"/>
      <c r="F30" s="245"/>
      <c r="G30" s="245"/>
      <c r="H30" s="245"/>
      <c r="I30" s="245"/>
      <c r="J30" s="245"/>
      <c r="K30" s="245"/>
      <c r="L30" s="171"/>
      <c r="M30" s="171"/>
      <c r="N30" s="171"/>
      <c r="O30" s="171"/>
      <c r="P30" s="171"/>
      <c r="Q30" s="171"/>
      <c r="R30" s="171"/>
      <c r="S30" s="171"/>
      <c r="T30" s="171"/>
      <c r="U30" s="171"/>
      <c r="V30" s="171"/>
      <c r="W30" s="171"/>
    </row>
    <row r="31" spans="1:23" x14ac:dyDescent="0.35">
      <c r="A31" s="171"/>
      <c r="B31" s="171"/>
      <c r="C31" s="171"/>
      <c r="D31" s="171"/>
      <c r="E31" s="169" t="s">
        <v>377</v>
      </c>
      <c r="F31" s="155" t="s">
        <v>378</v>
      </c>
      <c r="G31" s="155" t="s">
        <v>379</v>
      </c>
      <c r="H31" s="169" t="s">
        <v>365</v>
      </c>
      <c r="I31" s="169" t="s">
        <v>380</v>
      </c>
      <c r="J31" s="250" t="s">
        <v>381</v>
      </c>
      <c r="K31" s="171"/>
      <c r="L31" s="171"/>
      <c r="M31" s="171"/>
      <c r="N31" s="171"/>
      <c r="O31" s="171"/>
      <c r="P31" s="171"/>
      <c r="Q31" s="171"/>
      <c r="R31" s="171"/>
      <c r="S31" s="171"/>
      <c r="T31" s="171"/>
      <c r="U31" s="171"/>
      <c r="V31" s="171"/>
      <c r="W31" s="171"/>
    </row>
    <row r="32" spans="1:23" x14ac:dyDescent="0.35">
      <c r="A32" s="171"/>
      <c r="B32" s="171"/>
      <c r="C32" s="171"/>
      <c r="D32" s="171"/>
      <c r="E32" s="155" t="s">
        <v>277</v>
      </c>
      <c r="F32" s="164">
        <f>Q7*B4+F33</f>
        <v>668.62837838975338</v>
      </c>
      <c r="G32" s="184">
        <f>Q7*B4*0.71+G33</f>
        <v>524.94259740672487</v>
      </c>
      <c r="H32" s="189">
        <f>((SUM(F32:G32)+B11*C11+B12*C12+B13*C13)*(1+C8))</f>
        <v>1337.9064923019225</v>
      </c>
      <c r="I32" s="190">
        <f>(H32-H33)*Parameetrid!I12*(1+Sisend!H15)+(H33*Parameetrid!J12*(1+Sisend!H16))</f>
        <v>922332.28121383698</v>
      </c>
      <c r="J32" s="188"/>
      <c r="K32" s="171"/>
      <c r="L32" s="171"/>
      <c r="M32" s="171"/>
      <c r="N32" s="171"/>
      <c r="O32" s="171"/>
      <c r="P32" s="171"/>
      <c r="Q32" s="171"/>
      <c r="R32" s="171"/>
      <c r="S32" s="171"/>
      <c r="T32" s="171"/>
      <c r="U32" s="171"/>
      <c r="V32" s="171"/>
      <c r="W32" s="171"/>
    </row>
    <row r="33" spans="1:23" x14ac:dyDescent="0.35">
      <c r="A33" s="171"/>
      <c r="B33" s="171"/>
      <c r="C33" s="171"/>
      <c r="D33" s="171"/>
      <c r="E33" s="155" t="s">
        <v>178</v>
      </c>
      <c r="F33" s="184">
        <f>(N6+N7*0.5)*P5</f>
        <v>31.782562499999997</v>
      </c>
      <c r="G33" s="184">
        <f>F33*2.29</f>
        <v>72.782068124999995</v>
      </c>
      <c r="H33" s="189">
        <f>((SUM(F33:G33)+B11*C11+B12*C12+B13*C13)*(1+C8))</f>
        <v>138.91050626812498</v>
      </c>
      <c r="I33" s="190">
        <f>H33*(Parameetrid!I12*(1+Sisend!G15))</f>
        <v>118294.68690446755</v>
      </c>
      <c r="J33" s="190">
        <f>H33*(Parameetrid!I13*(1+Sisend!G15))</f>
        <v>21620.515715416837</v>
      </c>
      <c r="K33" s="171"/>
      <c r="L33" s="171"/>
      <c r="M33" s="171"/>
      <c r="N33" s="171"/>
      <c r="O33" s="171"/>
      <c r="P33" s="171"/>
      <c r="Q33" s="171"/>
      <c r="R33" s="171"/>
      <c r="S33" s="171"/>
      <c r="T33" s="171"/>
      <c r="U33" s="171"/>
      <c r="V33" s="171"/>
      <c r="W33" s="171"/>
    </row>
    <row r="34" spans="1:23" x14ac:dyDescent="0.35">
      <c r="A34" s="171"/>
      <c r="B34" s="171"/>
      <c r="C34" s="171"/>
      <c r="D34" s="171"/>
      <c r="E34" s="171"/>
      <c r="F34" s="171"/>
      <c r="G34" s="171"/>
      <c r="H34" s="171"/>
      <c r="I34" s="171"/>
      <c r="J34" s="171"/>
      <c r="K34" s="171"/>
      <c r="L34" s="171"/>
      <c r="M34" s="171"/>
      <c r="N34" s="171"/>
      <c r="O34" s="171"/>
      <c r="P34" s="171"/>
      <c r="Q34" s="171"/>
      <c r="R34" s="171"/>
      <c r="S34" s="171"/>
      <c r="T34" s="171"/>
      <c r="U34" s="171"/>
      <c r="V34" s="171"/>
      <c r="W34" s="171"/>
    </row>
    <row r="35" spans="1:23" x14ac:dyDescent="0.35">
      <c r="A35" s="171"/>
      <c r="B35" s="171"/>
      <c r="C35" s="171"/>
      <c r="D35" s="171"/>
      <c r="E35" s="171"/>
      <c r="F35" s="171"/>
      <c r="G35" s="171"/>
      <c r="H35" s="171"/>
      <c r="I35" s="171"/>
      <c r="J35" s="171"/>
      <c r="K35" s="171"/>
      <c r="L35" s="171"/>
      <c r="M35" s="171"/>
      <c r="N35" s="171"/>
      <c r="O35" s="171"/>
      <c r="P35" s="171"/>
      <c r="Q35" s="171"/>
      <c r="R35" s="171"/>
      <c r="S35" s="171"/>
      <c r="T35" s="171"/>
      <c r="U35" s="171"/>
      <c r="V35" s="171"/>
      <c r="W35" s="171"/>
    </row>
    <row r="36" spans="1:23" x14ac:dyDescent="0.35">
      <c r="A36" s="171"/>
      <c r="B36" s="171"/>
      <c r="C36" s="171"/>
      <c r="D36" s="171"/>
      <c r="E36" s="171"/>
      <c r="F36" s="171"/>
      <c r="G36" s="171"/>
      <c r="H36" s="171"/>
      <c r="I36" s="171"/>
      <c r="J36" s="171"/>
      <c r="K36" s="171"/>
      <c r="L36" s="171"/>
      <c r="M36" s="171"/>
      <c r="N36" s="171"/>
      <c r="O36" s="171"/>
      <c r="P36" s="171"/>
      <c r="Q36" s="171"/>
      <c r="R36" s="171"/>
      <c r="S36" s="171"/>
      <c r="T36" s="171"/>
      <c r="U36" s="171"/>
      <c r="V36" s="171"/>
      <c r="W36" s="171"/>
    </row>
    <row r="37" spans="1:23" x14ac:dyDescent="0.35">
      <c r="A37" s="171"/>
      <c r="B37" s="171"/>
      <c r="C37" s="171"/>
      <c r="D37" s="171"/>
      <c r="E37" s="171"/>
      <c r="F37" s="171"/>
      <c r="G37" s="171"/>
      <c r="H37" s="171"/>
      <c r="I37" s="171"/>
      <c r="J37" s="171"/>
      <c r="K37" s="171"/>
      <c r="L37" s="171"/>
      <c r="M37" s="171"/>
      <c r="N37" s="171"/>
      <c r="O37" s="171"/>
      <c r="P37" s="171"/>
      <c r="Q37" s="171"/>
      <c r="R37" s="171"/>
      <c r="S37" s="171"/>
      <c r="T37" s="171"/>
      <c r="U37" s="171"/>
      <c r="V37" s="171"/>
      <c r="W37" s="171"/>
    </row>
    <row r="38" spans="1:23" x14ac:dyDescent="0.35">
      <c r="A38" s="171"/>
      <c r="B38" s="171"/>
      <c r="C38" s="171"/>
      <c r="D38" s="171"/>
      <c r="E38" s="171"/>
      <c r="F38" s="171"/>
      <c r="G38" s="171"/>
      <c r="H38" s="171"/>
      <c r="I38" s="171"/>
      <c r="J38" s="171"/>
      <c r="K38" s="171"/>
      <c r="L38" s="171"/>
      <c r="M38" s="171"/>
      <c r="N38" s="171"/>
      <c r="O38" s="171"/>
      <c r="P38" s="171"/>
      <c r="Q38" s="171"/>
      <c r="R38" s="171"/>
      <c r="S38" s="171"/>
      <c r="T38" s="171"/>
      <c r="U38" s="171"/>
      <c r="V38" s="171"/>
      <c r="W38" s="171"/>
    </row>
    <row r="39" spans="1:23" x14ac:dyDescent="0.35">
      <c r="A39" s="171"/>
      <c r="B39" s="171"/>
      <c r="C39" s="171"/>
      <c r="D39" s="171"/>
      <c r="E39" s="171"/>
      <c r="F39" s="171"/>
      <c r="G39" s="171"/>
      <c r="H39" s="171"/>
      <c r="I39" s="171"/>
      <c r="J39" s="171"/>
      <c r="K39" s="171"/>
      <c r="L39" s="171"/>
      <c r="M39" s="171"/>
      <c r="N39" s="171"/>
      <c r="O39" s="171"/>
      <c r="P39" s="171"/>
      <c r="Q39" s="171"/>
      <c r="R39" s="171"/>
      <c r="S39" s="171"/>
      <c r="T39" s="171"/>
      <c r="U39" s="171"/>
      <c r="V39" s="171"/>
      <c r="W39" s="171"/>
    </row>
    <row r="40" spans="1:23" x14ac:dyDescent="0.35">
      <c r="A40" s="171"/>
      <c r="B40" s="171"/>
      <c r="C40" s="171"/>
      <c r="D40" s="171"/>
      <c r="E40" s="171"/>
      <c r="F40" s="171"/>
      <c r="G40" s="171"/>
      <c r="H40" s="171"/>
      <c r="I40" s="171"/>
      <c r="J40" s="171"/>
      <c r="K40" s="171"/>
      <c r="L40" s="171"/>
      <c r="M40" s="171"/>
      <c r="N40" s="171"/>
      <c r="O40" s="171"/>
      <c r="P40" s="171"/>
      <c r="Q40" s="171"/>
      <c r="R40" s="171"/>
      <c r="S40" s="171"/>
      <c r="T40" s="171"/>
      <c r="U40" s="171"/>
      <c r="V40" s="171"/>
      <c r="W40" s="171"/>
    </row>
    <row r="41" spans="1:23" x14ac:dyDescent="0.35">
      <c r="A41" s="171"/>
      <c r="B41" s="171"/>
      <c r="C41" s="171"/>
      <c r="D41" s="171"/>
      <c r="E41" s="171"/>
      <c r="F41" s="171"/>
      <c r="G41" s="171"/>
      <c r="H41" s="171"/>
      <c r="I41" s="171"/>
      <c r="J41" s="171"/>
      <c r="K41" s="171"/>
      <c r="L41" s="171"/>
      <c r="M41" s="171"/>
      <c r="N41" s="171"/>
      <c r="O41" s="171"/>
      <c r="P41" s="171"/>
      <c r="Q41" s="171"/>
      <c r="R41" s="171"/>
      <c r="S41" s="171"/>
      <c r="T41" s="171"/>
      <c r="U41" s="171"/>
      <c r="V41" s="171"/>
      <c r="W41" s="171"/>
    </row>
    <row r="42" spans="1:23" x14ac:dyDescent="0.35">
      <c r="A42" s="171"/>
      <c r="B42" s="171"/>
      <c r="C42" s="171"/>
      <c r="D42" s="171"/>
      <c r="E42" s="171"/>
      <c r="F42" s="171"/>
      <c r="G42" s="171"/>
      <c r="H42" s="171"/>
      <c r="I42" s="171"/>
      <c r="J42" s="171"/>
      <c r="K42" s="171"/>
      <c r="L42" s="171"/>
      <c r="M42" s="171"/>
      <c r="N42" s="171"/>
      <c r="O42" s="171"/>
      <c r="P42" s="171"/>
      <c r="Q42" s="171"/>
      <c r="R42" s="171"/>
      <c r="S42" s="171"/>
      <c r="T42" s="171"/>
      <c r="U42" s="171"/>
      <c r="V42" s="171"/>
      <c r="W42" s="171"/>
    </row>
    <row r="43" spans="1:23" x14ac:dyDescent="0.35">
      <c r="A43" s="171"/>
      <c r="B43" s="171"/>
      <c r="C43" s="171"/>
      <c r="D43" s="171"/>
      <c r="E43" s="171"/>
      <c r="F43" s="171"/>
      <c r="G43" s="171"/>
      <c r="H43" s="171"/>
      <c r="I43" s="171"/>
      <c r="J43" s="171"/>
      <c r="K43" s="171"/>
      <c r="L43" s="171"/>
      <c r="M43" s="171"/>
      <c r="N43" s="171"/>
      <c r="O43" s="171"/>
      <c r="P43" s="171"/>
      <c r="Q43" s="171"/>
      <c r="R43" s="171"/>
      <c r="S43" s="171"/>
      <c r="T43" s="171"/>
      <c r="U43" s="171"/>
      <c r="V43" s="171"/>
      <c r="W43" s="171"/>
    </row>
    <row r="44" spans="1:23" x14ac:dyDescent="0.35">
      <c r="A44" s="171"/>
      <c r="B44" s="171"/>
      <c r="C44" s="171"/>
      <c r="D44" s="171"/>
      <c r="E44" s="171"/>
      <c r="F44" s="171"/>
      <c r="G44" s="171"/>
      <c r="H44" s="171"/>
      <c r="I44" s="171"/>
      <c r="J44" s="171"/>
      <c r="K44" s="171"/>
      <c r="L44" s="171"/>
      <c r="M44" s="171"/>
      <c r="N44" s="171"/>
      <c r="O44" s="171"/>
      <c r="P44" s="171"/>
      <c r="Q44" s="171"/>
      <c r="R44" s="171"/>
      <c r="S44" s="171"/>
      <c r="T44" s="171"/>
      <c r="U44" s="171"/>
      <c r="V44" s="171"/>
      <c r="W44" s="171"/>
    </row>
    <row r="45" spans="1:23" x14ac:dyDescent="0.35">
      <c r="A45" s="171"/>
      <c r="B45" s="171"/>
      <c r="C45" s="171"/>
      <c r="D45" s="171"/>
      <c r="E45" s="171"/>
      <c r="F45" s="171"/>
      <c r="G45" s="171"/>
      <c r="H45" s="171"/>
      <c r="I45" s="171"/>
      <c r="J45" s="171"/>
      <c r="K45" s="171"/>
      <c r="L45" s="171"/>
      <c r="M45" s="171"/>
      <c r="N45" s="171"/>
      <c r="O45" s="171"/>
      <c r="P45" s="171"/>
      <c r="Q45" s="171"/>
      <c r="R45" s="171"/>
      <c r="S45" s="171"/>
      <c r="T45" s="171"/>
      <c r="U45" s="171"/>
      <c r="V45" s="171"/>
      <c r="W45" s="171"/>
    </row>
    <row r="46" spans="1:23" x14ac:dyDescent="0.35">
      <c r="A46" s="171"/>
      <c r="B46" s="171"/>
      <c r="C46" s="171"/>
      <c r="D46" s="171"/>
      <c r="E46" s="171"/>
      <c r="F46" s="171"/>
      <c r="G46" s="171"/>
      <c r="H46" s="171"/>
      <c r="I46" s="171"/>
      <c r="J46" s="171"/>
      <c r="K46" s="171"/>
      <c r="L46" s="171"/>
      <c r="M46" s="171"/>
      <c r="N46" s="171"/>
      <c r="O46" s="171"/>
      <c r="P46" s="171"/>
      <c r="Q46" s="171"/>
      <c r="R46" s="171"/>
      <c r="S46" s="171"/>
      <c r="T46" s="171"/>
      <c r="U46" s="171"/>
      <c r="V46" s="171"/>
      <c r="W46" s="171"/>
    </row>
    <row r="49" spans="3:3" x14ac:dyDescent="0.35">
      <c r="C49" s="339"/>
    </row>
    <row r="53" spans="3:3" x14ac:dyDescent="0.35">
      <c r="C53" s="339"/>
    </row>
  </sheetData>
  <conditionalFormatting sqref="B19:B22">
    <cfRule type="colorScale" priority="1">
      <colorScale>
        <cfvo type="num" val="0"/>
        <cfvo type="num" val="5"/>
        <color theme="0"/>
        <color theme="9"/>
      </colorScale>
    </cfRule>
    <cfRule type="colorScale" priority="2">
      <colorScale>
        <cfvo type="min"/>
        <cfvo type="max"/>
        <color theme="9" tint="0.79998168889431442"/>
        <color theme="9" tint="0.39997558519241921"/>
      </colorScale>
    </cfRule>
  </conditionalFormatting>
  <pageMargins left="0.7" right="0.7" top="0.75" bottom="0.75" header="0.3" footer="0.3"/>
  <ignoredErrors>
    <ignoredError sqref="C12" formula="1"/>
  </ignoredErrors>
  <legacy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81E3AA-D82F-4FC7-B2B7-EBFFE088E230}">
  <sheetPr codeName="Leht6"/>
  <dimension ref="A1:X35"/>
  <sheetViews>
    <sheetView zoomScaleNormal="100" workbookViewId="0">
      <selection activeCell="E13" sqref="E13"/>
    </sheetView>
  </sheetViews>
  <sheetFormatPr defaultColWidth="9.1796875" defaultRowHeight="14.5" x14ac:dyDescent="0.35"/>
  <cols>
    <col min="1" max="1" width="40.1796875" style="41" customWidth="1"/>
    <col min="2" max="2" width="13.81640625" style="41" customWidth="1"/>
    <col min="3" max="3" width="3.81640625" style="41" customWidth="1"/>
    <col min="4" max="4" width="18.81640625" style="41" customWidth="1"/>
    <col min="5" max="5" width="10.81640625" style="41" customWidth="1"/>
    <col min="6" max="6" width="14.81640625" style="41" customWidth="1"/>
    <col min="7" max="7" width="9.81640625" style="41" customWidth="1"/>
    <col min="8" max="8" width="11.453125" style="41" bestFit="1" customWidth="1"/>
    <col min="9" max="9" width="10.81640625" style="41" customWidth="1"/>
    <col min="10" max="10" width="3.453125" style="41" customWidth="1"/>
    <col min="11" max="11" width="26" style="41" customWidth="1"/>
    <col min="12" max="12" width="18.81640625" style="41" customWidth="1"/>
    <col min="13" max="13" width="5.453125" style="41" customWidth="1"/>
    <col min="14" max="14" width="9" style="41" bestFit="1" customWidth="1"/>
    <col min="15" max="15" width="13" style="41" customWidth="1"/>
    <col min="16" max="16384" width="9.1796875" style="41"/>
  </cols>
  <sheetData>
    <row r="1" spans="1:24" x14ac:dyDescent="0.35">
      <c r="A1" s="161" t="s">
        <v>382</v>
      </c>
      <c r="B1" s="161" t="s">
        <v>383</v>
      </c>
      <c r="C1" s="425"/>
      <c r="D1" s="168"/>
      <c r="E1" s="155" t="s">
        <v>384</v>
      </c>
      <c r="F1" s="155" t="s">
        <v>385</v>
      </c>
      <c r="G1" s="155" t="s">
        <v>386</v>
      </c>
      <c r="H1" s="155" t="s">
        <v>387</v>
      </c>
      <c r="I1" s="155" t="s">
        <v>388</v>
      </c>
      <c r="J1" s="171"/>
      <c r="K1" s="170" t="s">
        <v>389</v>
      </c>
      <c r="L1" s="126">
        <f>IF('KOV-id'!F6=1,1,IF('KOV-id'!F6=2,0.95,IF('KOV-id'!F6=3,0.5)))</f>
        <v>0.5</v>
      </c>
      <c r="M1" s="171"/>
      <c r="N1" s="171"/>
      <c r="O1" s="171"/>
      <c r="P1" s="171"/>
      <c r="Q1" s="171"/>
      <c r="R1" s="171"/>
      <c r="S1" s="171"/>
      <c r="T1" s="171"/>
      <c r="U1" s="171"/>
      <c r="V1" s="171"/>
      <c r="W1" s="171"/>
      <c r="X1" s="171"/>
    </row>
    <row r="2" spans="1:24" x14ac:dyDescent="0.35">
      <c r="A2" s="155" t="s">
        <v>390</v>
      </c>
      <c r="B2" s="162">
        <f>Sisend!B5</f>
        <v>5000</v>
      </c>
      <c r="C2" s="425"/>
      <c r="D2" s="155" t="s">
        <v>391</v>
      </c>
      <c r="E2" s="165">
        <f>IF(B7/B6&lt;0.001,0,IF(B7/B6&lt;0.005,1,IF(B7/B6&lt;0.01,2,IF(B7/B6&gt;=0.01,3))))</f>
        <v>3</v>
      </c>
      <c r="F2" s="180"/>
      <c r="G2" s="180"/>
      <c r="H2" s="180"/>
      <c r="I2" s="183"/>
      <c r="J2" s="171"/>
      <c r="K2" s="155" t="s">
        <v>392</v>
      </c>
      <c r="L2" s="125">
        <f>IF('KOV-id'!F6=1,1,IF('KOV-id'!F6=2,0.9,IF('KOV-id'!F6=3,0.7)))</f>
        <v>0.7</v>
      </c>
      <c r="M2" s="171"/>
      <c r="N2" s="171"/>
      <c r="O2" s="171"/>
      <c r="P2" s="171"/>
      <c r="Q2" s="171"/>
      <c r="R2" s="171"/>
      <c r="S2" s="171"/>
      <c r="T2" s="171"/>
      <c r="U2" s="171"/>
      <c r="V2" s="171"/>
      <c r="W2" s="171"/>
      <c r="X2" s="171"/>
    </row>
    <row r="3" spans="1:24" x14ac:dyDescent="0.35">
      <c r="A3" s="155" t="s">
        <v>393</v>
      </c>
      <c r="B3" s="164">
        <f>(Sisend!C15+Sisend!C16)*B2</f>
        <v>4167.2070340256605</v>
      </c>
      <c r="C3" s="425"/>
      <c r="D3" s="155" t="s">
        <v>394</v>
      </c>
      <c r="E3" s="166">
        <f>IF('KOV-id'!F6=3,1,0)</f>
        <v>1</v>
      </c>
      <c r="F3" s="180"/>
      <c r="G3" s="180"/>
      <c r="H3" s="180"/>
      <c r="I3" s="183"/>
      <c r="J3" s="171"/>
      <c r="K3" s="171"/>
      <c r="L3" s="171"/>
      <c r="M3" s="171"/>
      <c r="N3" s="179"/>
      <c r="O3" s="171"/>
      <c r="P3" s="171"/>
      <c r="Q3" s="171"/>
      <c r="R3" s="171"/>
      <c r="S3" s="171"/>
      <c r="T3" s="171"/>
      <c r="U3" s="171"/>
      <c r="V3" s="171"/>
      <c r="W3" s="171"/>
      <c r="X3" s="171"/>
    </row>
    <row r="4" spans="1:24" x14ac:dyDescent="0.35">
      <c r="A4" s="155" t="s">
        <v>395</v>
      </c>
      <c r="B4" s="164">
        <f>B2-B3</f>
        <v>832.7929659743395</v>
      </c>
      <c r="C4" s="425"/>
      <c r="D4" s="155" t="s">
        <v>396</v>
      </c>
      <c r="E4" s="166">
        <f>IF(B5=4,1,0)</f>
        <v>1</v>
      </c>
      <c r="F4" s="180"/>
      <c r="G4" s="180"/>
      <c r="H4" s="180"/>
      <c r="I4" s="183"/>
      <c r="J4" s="171"/>
      <c r="K4" s="171"/>
      <c r="L4" s="171"/>
      <c r="M4" s="171"/>
      <c r="N4" s="171"/>
      <c r="O4" s="171"/>
      <c r="P4" s="171"/>
      <c r="Q4" s="171"/>
      <c r="R4" s="171"/>
      <c r="S4" s="171"/>
      <c r="T4" s="171"/>
      <c r="U4" s="171"/>
      <c r="V4" s="171"/>
      <c r="W4" s="171"/>
      <c r="X4" s="171"/>
    </row>
    <row r="5" spans="1:24" x14ac:dyDescent="0.35">
      <c r="A5" s="155" t="s">
        <v>397</v>
      </c>
      <c r="B5" s="22">
        <f>VLOOKUP(Sisend!B7,Parameetrid!P24:T27,5,FALSE)</f>
        <v>4</v>
      </c>
      <c r="C5" s="425"/>
      <c r="D5" s="155" t="s">
        <v>398</v>
      </c>
      <c r="E5" s="180"/>
      <c r="F5" s="166">
        <f>IF(B3/B6&lt;0.01,0,IF(B3/B6&lt;0.03,1,IF(B3/B6&lt;0.1,2,IF(B3/B6&gt;=0.1,3))))</f>
        <v>3</v>
      </c>
      <c r="G5" s="180"/>
      <c r="H5" s="180"/>
      <c r="I5" s="183"/>
      <c r="J5" s="171"/>
      <c r="K5" s="155" t="s">
        <v>199</v>
      </c>
      <c r="L5" s="88">
        <v>1</v>
      </c>
      <c r="M5" s="171"/>
      <c r="N5" s="171"/>
      <c r="O5" s="171"/>
      <c r="P5" s="171"/>
      <c r="Q5" s="171"/>
      <c r="R5" s="171"/>
      <c r="S5" s="171"/>
      <c r="T5" s="171"/>
      <c r="U5" s="171"/>
      <c r="V5" s="171"/>
      <c r="W5" s="171"/>
      <c r="X5" s="171"/>
    </row>
    <row r="6" spans="1:24" x14ac:dyDescent="0.35">
      <c r="A6" s="155" t="s">
        <v>399</v>
      </c>
      <c r="B6" s="163">
        <f>'KOV-id'!E6</f>
        <v>6388</v>
      </c>
      <c r="C6" s="425"/>
      <c r="D6" s="155" t="s">
        <v>400</v>
      </c>
      <c r="E6" s="180"/>
      <c r="F6" s="180"/>
      <c r="G6" s="166">
        <f>IF(L10="Tallinn",0,IF(L10="Pärnu linn",0,IF('KOV-id'!F6=2,1,IF('KOV-id'!F6=3,2))))</f>
        <v>2</v>
      </c>
      <c r="H6" s="180"/>
      <c r="I6" s="183"/>
      <c r="J6" s="171"/>
      <c r="K6" s="155" t="s">
        <v>201</v>
      </c>
      <c r="L6" s="88">
        <v>4</v>
      </c>
      <c r="M6" s="171"/>
      <c r="N6" s="171"/>
      <c r="O6" s="171"/>
      <c r="P6" s="171"/>
      <c r="Q6" s="171"/>
      <c r="R6" s="171"/>
      <c r="S6" s="171"/>
      <c r="T6" s="171"/>
      <c r="U6" s="171"/>
      <c r="V6" s="171"/>
      <c r="W6" s="171"/>
      <c r="X6" s="171"/>
    </row>
    <row r="7" spans="1:24" x14ac:dyDescent="0.35">
      <c r="A7" s="155" t="s">
        <v>76</v>
      </c>
      <c r="B7" s="164">
        <f>Sisend!C41</f>
        <v>482.41906645569617</v>
      </c>
      <c r="C7" s="425"/>
      <c r="D7" s="155" t="s">
        <v>401</v>
      </c>
      <c r="E7" s="180"/>
      <c r="F7" s="182"/>
      <c r="G7" s="180"/>
      <c r="H7" s="166">
        <f>IF(AND(sots_arvutused!B5&gt;=4,'KOV-id'!F6&gt;=2),1,IF(AND('KOV-id'!F6=3,sots_arvutused!B5=1),-1,0))</f>
        <v>1</v>
      </c>
      <c r="I7" s="183"/>
      <c r="J7" s="171"/>
      <c r="K7" s="155" t="s">
        <v>206</v>
      </c>
      <c r="L7" s="88">
        <v>5</v>
      </c>
      <c r="M7" s="171"/>
      <c r="N7" s="171"/>
      <c r="O7" s="171"/>
      <c r="P7" s="171"/>
      <c r="Q7" s="171"/>
      <c r="R7" s="171"/>
      <c r="S7" s="171"/>
      <c r="T7" s="171"/>
      <c r="U7" s="171"/>
      <c r="V7" s="171"/>
      <c r="W7" s="171"/>
      <c r="X7" s="171"/>
    </row>
    <row r="8" spans="1:24" x14ac:dyDescent="0.35">
      <c r="A8" s="155" t="s">
        <v>78</v>
      </c>
      <c r="B8" s="164">
        <f>Sisend!C42</f>
        <v>250</v>
      </c>
      <c r="C8" s="425"/>
      <c r="D8" s="155" t="s">
        <v>402</v>
      </c>
      <c r="E8" s="180"/>
      <c r="F8" s="180"/>
      <c r="G8" s="180"/>
      <c r="H8" s="180"/>
      <c r="I8" s="166">
        <f>IF(B4/B6&lt;0.0025,0,IF(B4/B6&lt;0.01,1,IF(B4/B6&lt;0.025,2,IF(B4/B6&gt;=0.025,3))))</f>
        <v>3</v>
      </c>
      <c r="J8" s="171"/>
      <c r="K8" s="171"/>
      <c r="L8" s="171"/>
      <c r="M8" s="171"/>
      <c r="N8" s="171"/>
      <c r="O8" s="171"/>
      <c r="P8" s="171"/>
      <c r="Q8" s="171"/>
      <c r="R8" s="171"/>
      <c r="S8" s="171"/>
      <c r="T8" s="171"/>
      <c r="U8" s="171"/>
      <c r="V8" s="171"/>
      <c r="W8" s="171"/>
      <c r="X8" s="171"/>
    </row>
    <row r="9" spans="1:24" x14ac:dyDescent="0.35">
      <c r="A9" s="161" t="s">
        <v>403</v>
      </c>
      <c r="B9" s="161"/>
      <c r="C9" s="425"/>
      <c r="D9" s="155" t="s">
        <v>404</v>
      </c>
      <c r="E9" s="181"/>
      <c r="F9" s="181"/>
      <c r="G9" s="181"/>
      <c r="H9" s="181"/>
      <c r="I9" s="167">
        <f>IF(B8/B6&lt;0.0005,0,IF(B8/B6&lt;0.001,1,IF(B8/B6&lt;0.0025,2,IF(B8/B6&gt;=0.0025,3))))</f>
        <v>3</v>
      </c>
      <c r="J9" s="171"/>
      <c r="K9" s="155" t="s">
        <v>405</v>
      </c>
      <c r="L9" s="307">
        <f>IF(sots_arvutused!B5=4,sots_arvutused!B2/10,0.0086*sots_arvutused!B2+34.725)</f>
        <v>500</v>
      </c>
      <c r="M9" s="171"/>
      <c r="N9" s="171"/>
      <c r="O9" s="171"/>
      <c r="P9" s="171"/>
      <c r="Q9" s="171"/>
      <c r="R9" s="171"/>
      <c r="S9" s="171"/>
      <c r="T9" s="171"/>
      <c r="U9" s="171"/>
      <c r="V9" s="171"/>
      <c r="W9" s="171"/>
      <c r="X9" s="171"/>
    </row>
    <row r="10" spans="1:24" x14ac:dyDescent="0.35">
      <c r="A10" s="194" t="s">
        <v>406</v>
      </c>
      <c r="B10" s="197">
        <f>SUM(E10:I10)</f>
        <v>17</v>
      </c>
      <c r="C10" s="425"/>
      <c r="D10" s="169" t="s">
        <v>365</v>
      </c>
      <c r="E10" s="279">
        <f>SUM(E2:E9)</f>
        <v>5</v>
      </c>
      <c r="F10" s="279">
        <f>SUM(F2:F9)</f>
        <v>3</v>
      </c>
      <c r="G10" s="279">
        <f>SUM(G2:G9)</f>
        <v>2</v>
      </c>
      <c r="H10" s="279">
        <f>SUM(H2:H9)</f>
        <v>1</v>
      </c>
      <c r="I10" s="279">
        <f>SUM(I2:I9)</f>
        <v>6</v>
      </c>
      <c r="J10" s="171"/>
      <c r="K10" s="155" t="s">
        <v>277</v>
      </c>
      <c r="L10" s="306" t="str">
        <f>Sisend!B8</f>
        <v>Otepää vald</v>
      </c>
      <c r="M10" s="171"/>
      <c r="N10" s="171"/>
      <c r="O10" s="171"/>
      <c r="P10" s="171"/>
      <c r="Q10" s="171"/>
      <c r="R10" s="171"/>
      <c r="S10" s="171"/>
      <c r="T10" s="171"/>
      <c r="U10" s="171"/>
      <c r="V10" s="171"/>
      <c r="W10" s="171"/>
      <c r="X10" s="171"/>
    </row>
    <row r="11" spans="1:24" x14ac:dyDescent="0.35">
      <c r="A11" s="195" t="s">
        <v>407</v>
      </c>
      <c r="B11" s="196">
        <f>IF(B10&lt;=0,-1,IF(B10&lt;=4,0,IF(B10&lt;7,1,IF(B10&lt;10,2,IF(B10&lt;12,3,IF(B10&lt;14,4,IF(B10&gt;=14,5)))))))</f>
        <v>5</v>
      </c>
      <c r="C11" s="171"/>
      <c r="D11" s="155" t="s">
        <v>367</v>
      </c>
      <c r="E11" s="180">
        <v>5</v>
      </c>
      <c r="F11" s="180">
        <v>3</v>
      </c>
      <c r="G11" s="180">
        <v>2</v>
      </c>
      <c r="H11" s="180">
        <v>1</v>
      </c>
      <c r="I11" s="426">
        <v>6</v>
      </c>
      <c r="J11" s="171"/>
      <c r="K11" s="171"/>
      <c r="L11" s="171"/>
      <c r="M11" s="171"/>
      <c r="N11" s="171"/>
      <c r="O11" s="171"/>
      <c r="P11" s="171"/>
      <c r="Q11" s="171"/>
      <c r="R11" s="171"/>
      <c r="S11" s="171"/>
      <c r="T11" s="171"/>
      <c r="U11" s="171"/>
      <c r="V11" s="171"/>
      <c r="W11" s="171"/>
      <c r="X11" s="171"/>
    </row>
    <row r="12" spans="1:24" x14ac:dyDescent="0.35">
      <c r="A12" s="171"/>
      <c r="B12" s="171"/>
      <c r="C12" s="171"/>
      <c r="D12" s="171"/>
      <c r="E12" s="171"/>
      <c r="F12" s="171"/>
      <c r="G12" s="171"/>
      <c r="H12" s="171"/>
      <c r="I12" s="171"/>
      <c r="J12" s="171"/>
      <c r="K12" s="171"/>
      <c r="L12" s="171"/>
      <c r="M12" s="171"/>
      <c r="N12" s="171"/>
      <c r="O12" s="171"/>
      <c r="P12" s="171"/>
      <c r="Q12" s="171"/>
      <c r="R12" s="171"/>
      <c r="S12" s="171"/>
      <c r="T12" s="171"/>
      <c r="U12" s="171"/>
      <c r="V12" s="171"/>
      <c r="W12" s="171"/>
      <c r="X12" s="171"/>
    </row>
    <row r="13" spans="1:24" x14ac:dyDescent="0.35">
      <c r="A13" s="171"/>
      <c r="B13" s="171"/>
      <c r="C13" s="172"/>
      <c r="D13" s="171"/>
      <c r="E13" s="171"/>
      <c r="F13" s="171"/>
      <c r="G13" s="255"/>
      <c r="H13" s="171"/>
      <c r="I13" s="178"/>
      <c r="J13" s="171"/>
      <c r="K13" s="171"/>
      <c r="L13" s="171"/>
      <c r="M13" s="171"/>
      <c r="N13" s="171"/>
      <c r="O13" s="171"/>
      <c r="P13" s="171"/>
      <c r="Q13" s="171"/>
      <c r="R13" s="171"/>
      <c r="S13" s="171"/>
      <c r="T13" s="171"/>
      <c r="U13" s="171"/>
      <c r="V13" s="171"/>
      <c r="W13" s="171"/>
      <c r="X13" s="171"/>
    </row>
    <row r="14" spans="1:24" x14ac:dyDescent="0.35">
      <c r="A14" s="171"/>
      <c r="B14" s="171"/>
      <c r="C14" s="172"/>
      <c r="D14" s="171"/>
      <c r="E14" s="171"/>
      <c r="F14" s="171"/>
      <c r="G14" s="171"/>
      <c r="H14" s="171"/>
      <c r="I14" s="171"/>
      <c r="J14" s="171"/>
      <c r="K14" s="171"/>
      <c r="L14" s="171"/>
      <c r="M14" s="171"/>
      <c r="N14" s="171"/>
      <c r="O14" s="171"/>
      <c r="P14" s="171"/>
      <c r="Q14" s="171"/>
      <c r="R14" s="171"/>
      <c r="S14" s="171"/>
      <c r="T14" s="171"/>
      <c r="U14" s="171"/>
      <c r="V14" s="171"/>
      <c r="W14" s="171"/>
      <c r="X14" s="171"/>
    </row>
    <row r="15" spans="1:24" x14ac:dyDescent="0.35">
      <c r="A15" s="171"/>
      <c r="B15" s="172"/>
      <c r="C15" s="172"/>
      <c r="D15" s="171"/>
      <c r="E15" s="171"/>
      <c r="F15" s="171"/>
      <c r="G15" s="171"/>
      <c r="H15" s="171"/>
      <c r="I15" s="171"/>
      <c r="J15" s="171"/>
      <c r="K15" s="171"/>
      <c r="L15" s="171"/>
      <c r="M15" s="171"/>
      <c r="N15" s="171"/>
      <c r="O15" s="171"/>
      <c r="P15" s="171"/>
      <c r="Q15" s="171"/>
      <c r="R15" s="171"/>
      <c r="S15" s="171"/>
      <c r="T15" s="171"/>
      <c r="U15" s="171"/>
      <c r="V15" s="171"/>
      <c r="W15" s="171"/>
      <c r="X15" s="171"/>
    </row>
    <row r="16" spans="1:24" x14ac:dyDescent="0.35">
      <c r="A16" s="171"/>
      <c r="B16" s="171"/>
      <c r="C16" s="171"/>
      <c r="D16" s="171"/>
      <c r="E16" s="171"/>
      <c r="F16" s="171"/>
      <c r="G16" s="171"/>
      <c r="H16" s="171"/>
      <c r="I16" s="171"/>
      <c r="J16" s="171"/>
      <c r="K16" s="171"/>
      <c r="L16" s="171"/>
      <c r="M16" s="171"/>
      <c r="N16" s="171"/>
      <c r="O16" s="171"/>
      <c r="P16" s="171"/>
      <c r="Q16" s="171"/>
      <c r="R16" s="171"/>
      <c r="S16" s="171"/>
      <c r="T16" s="171"/>
      <c r="U16" s="171"/>
      <c r="V16" s="171"/>
      <c r="W16" s="171"/>
      <c r="X16" s="171"/>
    </row>
    <row r="17" spans="1:24" x14ac:dyDescent="0.35">
      <c r="A17" s="173"/>
      <c r="B17" s="174"/>
      <c r="C17" s="171"/>
      <c r="D17" s="171"/>
      <c r="E17" s="171"/>
      <c r="F17" s="171"/>
      <c r="G17" s="171"/>
      <c r="H17" s="171"/>
      <c r="I17" s="171"/>
      <c r="J17" s="171"/>
      <c r="K17" s="171"/>
      <c r="L17" s="171"/>
      <c r="M17" s="171"/>
      <c r="N17" s="171"/>
      <c r="O17" s="171"/>
      <c r="P17" s="171"/>
      <c r="Q17" s="171"/>
      <c r="R17" s="171"/>
      <c r="S17" s="171"/>
      <c r="T17" s="171"/>
      <c r="U17" s="171"/>
      <c r="V17" s="171"/>
      <c r="W17" s="171"/>
      <c r="X17" s="171"/>
    </row>
    <row r="18" spans="1:24" x14ac:dyDescent="0.35">
      <c r="A18" s="173"/>
      <c r="B18" s="175"/>
      <c r="C18" s="171"/>
      <c r="D18" s="171" t="s">
        <v>10</v>
      </c>
      <c r="E18" s="171"/>
      <c r="F18" s="171"/>
      <c r="G18" s="171"/>
      <c r="H18" s="171"/>
      <c r="I18" s="171"/>
      <c r="J18" s="171"/>
      <c r="K18" s="171"/>
      <c r="L18" s="171"/>
      <c r="M18" s="171"/>
      <c r="N18" s="171"/>
      <c r="O18" s="171"/>
      <c r="P18" s="171"/>
      <c r="Q18" s="171"/>
      <c r="R18" s="171"/>
      <c r="S18" s="171"/>
      <c r="T18" s="171"/>
      <c r="U18" s="171"/>
      <c r="V18" s="171"/>
      <c r="W18" s="171"/>
      <c r="X18" s="171"/>
    </row>
    <row r="19" spans="1:24" x14ac:dyDescent="0.35">
      <c r="A19" s="173"/>
      <c r="B19" s="175"/>
      <c r="C19" s="171"/>
      <c r="D19" s="171"/>
      <c r="E19" s="171"/>
      <c r="F19" s="171"/>
      <c r="G19" s="171"/>
      <c r="H19" s="171"/>
      <c r="I19" s="171"/>
      <c r="J19" s="171"/>
      <c r="K19" s="171"/>
      <c r="L19" s="171"/>
      <c r="M19" s="171"/>
      <c r="N19" s="171"/>
      <c r="O19" s="171"/>
      <c r="P19" s="171"/>
      <c r="Q19" s="171"/>
      <c r="R19" s="171"/>
      <c r="S19" s="171"/>
      <c r="T19" s="171"/>
      <c r="U19" s="171"/>
      <c r="V19" s="171"/>
      <c r="W19" s="171"/>
      <c r="X19" s="171"/>
    </row>
    <row r="20" spans="1:24" x14ac:dyDescent="0.35">
      <c r="A20" s="173"/>
      <c r="B20" s="175"/>
      <c r="C20" s="171"/>
      <c r="D20" s="171"/>
      <c r="E20" s="171"/>
      <c r="F20" s="172"/>
      <c r="G20" s="171"/>
      <c r="H20" s="176"/>
      <c r="I20" s="172"/>
      <c r="J20" s="171"/>
      <c r="K20" s="171"/>
      <c r="L20" s="171"/>
      <c r="M20" s="171"/>
      <c r="N20" s="171"/>
      <c r="O20" s="171"/>
      <c r="P20" s="171"/>
      <c r="Q20" s="171"/>
      <c r="R20" s="171"/>
      <c r="S20" s="171"/>
      <c r="T20" s="171"/>
      <c r="U20" s="171"/>
      <c r="V20" s="171"/>
      <c r="W20" s="171"/>
      <c r="X20" s="171"/>
    </row>
    <row r="21" spans="1:24" x14ac:dyDescent="0.35">
      <c r="A21" s="173"/>
      <c r="B21" s="175"/>
      <c r="C21" s="171"/>
      <c r="D21" s="171"/>
      <c r="E21" s="171"/>
      <c r="F21" s="172"/>
      <c r="G21" s="171"/>
      <c r="H21" s="172"/>
      <c r="I21" s="171"/>
      <c r="J21" s="171"/>
      <c r="K21" s="171"/>
      <c r="L21" s="171"/>
      <c r="M21" s="171"/>
      <c r="N21" s="171"/>
      <c r="O21" s="171"/>
      <c r="P21" s="171"/>
      <c r="Q21" s="171"/>
      <c r="R21" s="171"/>
      <c r="S21" s="171"/>
      <c r="T21" s="171"/>
      <c r="U21" s="171"/>
      <c r="V21" s="171"/>
      <c r="W21" s="171"/>
      <c r="X21" s="171"/>
    </row>
    <row r="22" spans="1:24" x14ac:dyDescent="0.35">
      <c r="A22" s="171"/>
      <c r="B22" s="171"/>
      <c r="C22" s="171"/>
      <c r="D22" s="171"/>
      <c r="E22" s="171"/>
      <c r="F22" s="172"/>
      <c r="G22" s="171"/>
      <c r="H22" s="172"/>
      <c r="I22" s="171"/>
      <c r="J22" s="171"/>
      <c r="K22" s="171"/>
      <c r="L22" s="171"/>
      <c r="M22" s="171"/>
      <c r="N22" s="171"/>
      <c r="O22" s="171"/>
      <c r="P22" s="171"/>
      <c r="Q22" s="171"/>
      <c r="R22" s="171"/>
      <c r="S22" s="171"/>
      <c r="T22" s="171"/>
      <c r="U22" s="171"/>
      <c r="V22" s="171"/>
      <c r="W22" s="171"/>
      <c r="X22" s="171"/>
    </row>
    <row r="23" spans="1:24" x14ac:dyDescent="0.35">
      <c r="A23" s="171"/>
      <c r="B23" s="171"/>
      <c r="C23" s="171"/>
      <c r="D23" s="171"/>
      <c r="E23" s="171"/>
      <c r="F23" s="172"/>
      <c r="G23" s="171"/>
      <c r="H23" s="176"/>
      <c r="I23" s="176"/>
      <c r="J23" s="176"/>
      <c r="K23" s="171"/>
      <c r="L23" s="171"/>
      <c r="M23" s="171"/>
      <c r="N23" s="171"/>
      <c r="O23" s="171"/>
      <c r="P23" s="171"/>
      <c r="Q23" s="171"/>
      <c r="R23" s="171"/>
      <c r="S23" s="171"/>
      <c r="T23" s="171"/>
      <c r="U23" s="171"/>
      <c r="V23" s="171"/>
      <c r="W23" s="171"/>
      <c r="X23" s="171"/>
    </row>
    <row r="24" spans="1:24" x14ac:dyDescent="0.35">
      <c r="A24" s="171"/>
      <c r="B24" s="171"/>
      <c r="C24" s="171"/>
      <c r="D24" s="171"/>
      <c r="E24" s="177"/>
      <c r="F24" s="172"/>
      <c r="G24" s="171"/>
      <c r="H24" s="176"/>
      <c r="I24" s="171"/>
      <c r="J24" s="171"/>
      <c r="K24" s="171"/>
      <c r="L24" s="171"/>
      <c r="M24" s="171"/>
      <c r="N24" s="171"/>
      <c r="O24" s="171"/>
      <c r="P24" s="171"/>
      <c r="Q24" s="171"/>
      <c r="R24" s="171"/>
      <c r="S24" s="171"/>
      <c r="T24" s="171"/>
      <c r="U24" s="171"/>
      <c r="V24" s="171"/>
      <c r="W24" s="171"/>
      <c r="X24" s="171"/>
    </row>
    <row r="25" spans="1:24" x14ac:dyDescent="0.35">
      <c r="A25" s="171"/>
      <c r="B25" s="171"/>
      <c r="C25" s="171"/>
      <c r="D25" s="171"/>
      <c r="E25" s="171"/>
      <c r="F25" s="172"/>
      <c r="G25" s="171"/>
      <c r="H25" s="172"/>
      <c r="I25" s="172"/>
      <c r="J25" s="172"/>
      <c r="K25" s="171"/>
      <c r="L25" s="171"/>
      <c r="M25" s="171"/>
      <c r="N25" s="171"/>
      <c r="O25" s="171"/>
      <c r="P25" s="171"/>
      <c r="Q25" s="171"/>
      <c r="R25" s="171"/>
      <c r="S25" s="171"/>
      <c r="T25" s="171"/>
      <c r="U25" s="171"/>
      <c r="V25" s="171"/>
      <c r="W25" s="171"/>
      <c r="X25" s="171"/>
    </row>
    <row r="26" spans="1:24" x14ac:dyDescent="0.35">
      <c r="A26" s="171"/>
      <c r="B26" s="171"/>
      <c r="C26" s="171"/>
      <c r="D26" s="171"/>
      <c r="E26" s="171"/>
      <c r="F26" s="172"/>
      <c r="G26" s="171"/>
      <c r="H26" s="176"/>
      <c r="I26" s="171"/>
      <c r="J26" s="171"/>
      <c r="K26" s="171"/>
      <c r="L26" s="171"/>
      <c r="M26" s="171"/>
      <c r="N26" s="171"/>
      <c r="O26" s="171"/>
      <c r="P26" s="171"/>
      <c r="Q26" s="171"/>
      <c r="R26" s="171"/>
      <c r="S26" s="171"/>
      <c r="T26" s="171"/>
      <c r="U26" s="171"/>
      <c r="V26" s="171"/>
      <c r="W26" s="171"/>
      <c r="X26" s="171"/>
    </row>
    <row r="27" spans="1:24" x14ac:dyDescent="0.35">
      <c r="A27" s="171"/>
      <c r="B27" s="171"/>
      <c r="C27" s="171"/>
      <c r="D27" s="171"/>
      <c r="E27" s="171"/>
      <c r="F27" s="171"/>
      <c r="G27" s="171"/>
      <c r="H27" s="176"/>
      <c r="I27" s="171"/>
      <c r="J27" s="171"/>
      <c r="K27" s="171"/>
      <c r="L27" s="171"/>
      <c r="M27" s="171"/>
      <c r="N27" s="171"/>
      <c r="O27" s="171"/>
      <c r="P27" s="171"/>
      <c r="Q27" s="171"/>
      <c r="R27" s="171"/>
      <c r="S27" s="171"/>
      <c r="T27" s="171"/>
      <c r="U27" s="171"/>
      <c r="V27" s="171"/>
      <c r="W27" s="171"/>
      <c r="X27" s="171"/>
    </row>
    <row r="28" spans="1:24" x14ac:dyDescent="0.35">
      <c r="A28" s="171"/>
      <c r="B28" s="171"/>
      <c r="C28" s="171"/>
      <c r="D28" s="171"/>
      <c r="E28" s="171"/>
      <c r="F28" s="171"/>
      <c r="G28" s="171"/>
      <c r="H28" s="171"/>
      <c r="I28" s="171"/>
      <c r="J28" s="171"/>
      <c r="K28" s="171"/>
      <c r="L28" s="171"/>
      <c r="M28" s="171"/>
      <c r="N28" s="171"/>
      <c r="O28" s="171"/>
      <c r="P28" s="171"/>
      <c r="Q28" s="171"/>
      <c r="R28" s="171"/>
      <c r="S28" s="171"/>
      <c r="T28" s="171"/>
      <c r="U28" s="171"/>
      <c r="V28" s="171"/>
      <c r="W28" s="171"/>
      <c r="X28" s="171"/>
    </row>
    <row r="29" spans="1:24" x14ac:dyDescent="0.35">
      <c r="A29" s="171"/>
      <c r="B29" s="171"/>
      <c r="C29" s="171"/>
      <c r="D29" s="171"/>
      <c r="E29" s="171"/>
      <c r="F29" s="171"/>
      <c r="G29" s="171"/>
      <c r="H29" s="171"/>
      <c r="I29" s="171"/>
      <c r="J29" s="171"/>
      <c r="K29" s="171"/>
      <c r="L29" s="171"/>
      <c r="M29" s="171"/>
      <c r="N29" s="171"/>
      <c r="O29" s="171"/>
      <c r="P29" s="171"/>
      <c r="Q29" s="171"/>
      <c r="R29" s="171"/>
      <c r="S29" s="171"/>
      <c r="T29" s="171"/>
      <c r="U29" s="171"/>
      <c r="V29" s="171"/>
      <c r="W29" s="171"/>
      <c r="X29" s="171"/>
    </row>
    <row r="30" spans="1:24" x14ac:dyDescent="0.35">
      <c r="A30" s="171"/>
      <c r="B30" s="171"/>
      <c r="C30" s="171"/>
      <c r="D30" s="171"/>
      <c r="E30" s="171"/>
      <c r="F30" s="171"/>
      <c r="G30" s="171"/>
      <c r="H30" s="171"/>
      <c r="I30" s="171"/>
      <c r="J30" s="171"/>
      <c r="K30" s="171"/>
      <c r="L30" s="171"/>
      <c r="M30" s="171"/>
      <c r="N30" s="171"/>
      <c r="O30" s="171"/>
      <c r="P30" s="171"/>
      <c r="Q30" s="171"/>
      <c r="R30" s="171"/>
      <c r="S30" s="171"/>
      <c r="T30" s="171"/>
      <c r="U30" s="171"/>
      <c r="V30" s="171"/>
      <c r="W30" s="171"/>
      <c r="X30" s="171"/>
    </row>
    <row r="31" spans="1:24" x14ac:dyDescent="0.35">
      <c r="A31" s="171"/>
      <c r="B31" s="171"/>
      <c r="C31" s="171"/>
      <c r="D31" s="171"/>
      <c r="E31" s="171"/>
      <c r="F31" s="171"/>
      <c r="G31" s="171"/>
      <c r="H31" s="171"/>
      <c r="I31" s="171"/>
      <c r="J31" s="171"/>
      <c r="K31" s="171"/>
      <c r="L31" s="171"/>
      <c r="M31" s="171"/>
      <c r="N31" s="171"/>
      <c r="O31" s="171"/>
      <c r="P31" s="171"/>
      <c r="Q31" s="171"/>
      <c r="R31" s="171"/>
      <c r="S31" s="171"/>
      <c r="T31" s="171"/>
      <c r="U31" s="171"/>
      <c r="V31" s="171"/>
      <c r="W31" s="171"/>
      <c r="X31" s="171"/>
    </row>
    <row r="32" spans="1:24" x14ac:dyDescent="0.35">
      <c r="A32" s="171"/>
      <c r="B32" s="171"/>
      <c r="C32" s="171"/>
      <c r="D32" s="171"/>
      <c r="E32" s="171"/>
      <c r="F32" s="171"/>
      <c r="G32" s="171"/>
      <c r="H32" s="171"/>
      <c r="I32" s="171"/>
      <c r="J32" s="171"/>
      <c r="K32" s="171"/>
      <c r="L32" s="171"/>
      <c r="M32" s="171"/>
      <c r="N32" s="171"/>
      <c r="O32" s="171"/>
      <c r="P32" s="171"/>
      <c r="Q32" s="171"/>
      <c r="R32" s="171"/>
      <c r="S32" s="171"/>
      <c r="T32" s="171"/>
      <c r="U32" s="171"/>
      <c r="V32" s="171"/>
      <c r="W32" s="171"/>
      <c r="X32" s="171"/>
    </row>
    <row r="33" spans="1:24" x14ac:dyDescent="0.35">
      <c r="A33" s="171"/>
      <c r="B33" s="171"/>
      <c r="C33" s="171"/>
      <c r="D33" s="171"/>
      <c r="E33" s="171"/>
      <c r="F33" s="171"/>
      <c r="G33" s="171"/>
      <c r="H33" s="171"/>
      <c r="I33" s="171"/>
      <c r="J33" s="171"/>
      <c r="K33" s="171"/>
      <c r="L33" s="171"/>
      <c r="M33" s="171"/>
      <c r="N33" s="171"/>
      <c r="O33" s="171"/>
      <c r="P33" s="171"/>
      <c r="Q33" s="171"/>
      <c r="R33" s="171"/>
      <c r="S33" s="171"/>
      <c r="T33" s="171"/>
      <c r="U33" s="171"/>
      <c r="V33" s="171"/>
      <c r="W33" s="171"/>
      <c r="X33" s="171"/>
    </row>
    <row r="34" spans="1:24" x14ac:dyDescent="0.35">
      <c r="A34" s="171"/>
      <c r="B34" s="171"/>
      <c r="C34" s="171"/>
      <c r="D34" s="171"/>
      <c r="E34" s="171"/>
      <c r="F34" s="171"/>
      <c r="G34" s="171"/>
      <c r="H34" s="171"/>
      <c r="I34" s="171"/>
      <c r="J34" s="171"/>
      <c r="K34" s="171"/>
      <c r="L34" s="171"/>
      <c r="M34" s="171"/>
      <c r="N34" s="171"/>
      <c r="O34" s="171"/>
      <c r="P34" s="171"/>
      <c r="Q34" s="171"/>
      <c r="R34" s="171"/>
      <c r="S34" s="171"/>
      <c r="T34" s="171"/>
      <c r="U34" s="171"/>
      <c r="V34" s="171"/>
      <c r="W34" s="171"/>
      <c r="X34" s="171"/>
    </row>
    <row r="35" spans="1:24" x14ac:dyDescent="0.35">
      <c r="A35" s="171"/>
      <c r="B35" s="171"/>
      <c r="C35" s="171"/>
      <c r="D35" s="171"/>
      <c r="E35" s="171"/>
      <c r="F35" s="171"/>
      <c r="G35" s="171"/>
      <c r="H35" s="171"/>
      <c r="I35" s="171"/>
      <c r="J35" s="171"/>
      <c r="K35" s="171"/>
      <c r="L35" s="171"/>
      <c r="M35" s="171"/>
      <c r="N35" s="171"/>
      <c r="O35" s="171"/>
      <c r="P35" s="171"/>
      <c r="Q35" s="171"/>
      <c r="R35" s="171"/>
      <c r="S35" s="171"/>
      <c r="T35" s="171"/>
      <c r="U35" s="171"/>
      <c r="V35" s="171"/>
      <c r="W35" s="171"/>
      <c r="X35" s="171"/>
    </row>
  </sheetData>
  <conditionalFormatting sqref="B9">
    <cfRule type="cellIs" dxfId="1" priority="3" operator="between">
      <formula>-1</formula>
      <formula>-3</formula>
    </cfRule>
    <cfRule type="cellIs" dxfId="0" priority="4" operator="between">
      <formula>1</formula>
      <formula>3</formula>
    </cfRule>
  </conditionalFormatting>
  <pageMargins left="0.7" right="0.7" top="0.75" bottom="0.75" header="0.3" footer="0.3"/>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0d81c65f-5842-43c9-a691-e445a40616d7">
      <Terms xmlns="http://schemas.microsoft.com/office/infopath/2007/PartnerControls"/>
    </lcf76f155ced4ddcb4097134ff3c332f>
    <TaxCatchAll xmlns="51e387ab-2cf3-47c1-961d-d9fa51046f5a"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42479CD319D7BE4699FE88EEFEEE7C57" ma:contentTypeVersion="21" ma:contentTypeDescription="Loo uus dokument" ma:contentTypeScope="" ma:versionID="6c16accbb3b82d4bdbeb25748647e5a6">
  <xsd:schema xmlns:xsd="http://www.w3.org/2001/XMLSchema" xmlns:xs="http://www.w3.org/2001/XMLSchema" xmlns:p="http://schemas.microsoft.com/office/2006/metadata/properties" xmlns:ns2="0d81c65f-5842-43c9-a691-e445a40616d7" xmlns:ns3="51e387ab-2cf3-47c1-961d-d9fa51046f5a" targetNamespace="http://schemas.microsoft.com/office/2006/metadata/properties" ma:root="true" ma:fieldsID="3175531dfb3cea058932adc9f1e4c537" ns2:_="" ns3:_="">
    <xsd:import namespace="0d81c65f-5842-43c9-a691-e445a40616d7"/>
    <xsd:import namespace="51e387ab-2cf3-47c1-961d-d9fa51046f5a"/>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Location" minOccurs="0"/>
                <xsd:element ref="ns2:MediaServiceOCR" minOccurs="0"/>
                <xsd:element ref="ns2:MediaServiceAutoKeyPoints" minOccurs="0"/>
                <xsd:element ref="ns2:MediaServiceKeyPoints" minOccurs="0"/>
                <xsd:element ref="ns2:MediaLengthInSeconds" minOccurs="0"/>
                <xsd:element ref="ns3:SharedWithUsers" minOccurs="0"/>
                <xsd:element ref="ns3:SharedWithDetails" minOccurs="0"/>
                <xsd:element ref="ns3:TaxCatchAll" minOccurs="0"/>
                <xsd:element ref="ns2:lcf76f155ced4ddcb4097134ff3c332f"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d81c65f-5842-43c9-a691-e445a40616d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Location" ma:index="14" nillable="true" ma:displayName="Location" ma:internalName="MediaServiceLocatio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18" nillable="true" ma:displayName="Length (seconds)"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Pildisildid" ma:readOnly="false" ma:fieldId="{5cf76f15-5ced-4ddc-b409-7134ff3c332f}" ma:taxonomyMulti="true" ma:sspId="2765f91d-7ede-454c-a68b-1b422a717c7c"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1e387ab-2cf3-47c1-961d-d9fa51046f5a" elementFormDefault="qualified">
    <xsd:import namespace="http://schemas.microsoft.com/office/2006/documentManagement/types"/>
    <xsd:import namespace="http://schemas.microsoft.com/office/infopath/2007/PartnerControls"/>
    <xsd:element name="SharedWithUsers" ma:index="19" nillable="true" ma:displayName="Ühiskasutuses"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Ühiskasutusse andmise üksikasjad" ma:internalName="SharedWithDetails" ma:readOnly="true">
      <xsd:simpleType>
        <xsd:restriction base="dms:Note">
          <xsd:maxLength value="255"/>
        </xsd:restriction>
      </xsd:simpleType>
    </xsd:element>
    <xsd:element name="TaxCatchAll" ma:index="21" nillable="true" ma:displayName="Taxonomy Catch All Column" ma:hidden="true" ma:list="{8d4b029d-fafb-4083-b8c9-6fb998ff47d5}" ma:internalName="TaxCatchAll" ma:showField="CatchAllData" ma:web="51e387ab-2cf3-47c1-961d-d9fa51046f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isutüüp"/>
        <xsd:element ref="dc:title" minOccurs="0" maxOccurs="1" ma:index="4" ma:displayName="Pealkiri"/>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9472702-CA00-4A53-AA8A-34AF7421F2D4}">
  <ds:schemaRefs>
    <ds:schemaRef ds:uri="http://schemas.microsoft.com/office/2006/documentManagement/types"/>
    <ds:schemaRef ds:uri="http://schemas.openxmlformats.org/package/2006/metadata/core-properties"/>
    <ds:schemaRef ds:uri="http://purl.org/dc/dcmitype/"/>
    <ds:schemaRef ds:uri="http://www.w3.org/XML/1998/namespace"/>
    <ds:schemaRef ds:uri="http://schemas.microsoft.com/office/2006/metadata/properties"/>
    <ds:schemaRef ds:uri="http://purl.org/dc/elements/1.1/"/>
    <ds:schemaRef ds:uri="http://schemas.microsoft.com/office/infopath/2007/PartnerControls"/>
    <ds:schemaRef ds:uri="8b0499bd-0431-47c7-b9d2-043323338190"/>
    <ds:schemaRef ds:uri="70c9a0a3-47f7-4026-9e9d-1b51f5c52528"/>
    <ds:schemaRef ds:uri="http://purl.org/dc/terms/"/>
  </ds:schemaRefs>
</ds:datastoreItem>
</file>

<file path=customXml/itemProps2.xml><?xml version="1.0" encoding="utf-8"?>
<ds:datastoreItem xmlns:ds="http://schemas.openxmlformats.org/officeDocument/2006/customXml" ds:itemID="{F98FC26C-7B23-4834-9017-6CBC1547911B}"/>
</file>

<file path=customXml/itemProps3.xml><?xml version="1.0" encoding="utf-8"?>
<ds:datastoreItem xmlns:ds="http://schemas.openxmlformats.org/officeDocument/2006/customXml" ds:itemID="{B883967C-74CC-45E8-9CF9-1FD6FF46CEC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Töölehed</vt:lpstr>
      </vt:variant>
      <vt:variant>
        <vt:i4>10</vt:i4>
      </vt:variant>
    </vt:vector>
  </HeadingPairs>
  <TitlesOfParts>
    <vt:vector size="10" baseType="lpstr">
      <vt:lpstr>10.04.2025, algus</vt:lpstr>
      <vt:lpstr>10.04.2025 mudeli tööpiirkond</vt:lpstr>
      <vt:lpstr>Juhend</vt:lpstr>
      <vt:lpstr>Sisend</vt:lpstr>
      <vt:lpstr>Väljund</vt:lpstr>
      <vt:lpstr>Parameetrid</vt:lpstr>
      <vt:lpstr>maj_arvutused</vt:lpstr>
      <vt:lpstr>kuv_arvutused</vt:lpstr>
      <vt:lpstr>sots_arvutused</vt:lpstr>
      <vt:lpstr>KOV-id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Kristjan Piirimäe</dc:creator>
  <cp:keywords/>
  <dc:description/>
  <cp:lastModifiedBy>Aleksandr Michelson - MKM</cp:lastModifiedBy>
  <cp:revision/>
  <dcterms:created xsi:type="dcterms:W3CDTF">2023-10-26T13:12:23Z</dcterms:created>
  <dcterms:modified xsi:type="dcterms:W3CDTF">2025-04-09T11:15:28Z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0x01010042479CD319D7BE4699FE88EEFEEE7C57</vt:lpwstr>
  </property>
  <property fmtid="{D5CDD505-2E9C-101B-9397-08002B2CF9AE}" pid="3" name="MSIP_Label_defa4170-0d19-0005-0004-bc88714345d2_Enabled">
    <vt:lpwstr>true</vt:lpwstr>
  </property>
  <property fmtid="{D5CDD505-2E9C-101B-9397-08002B2CF9AE}" pid="4" name="MSIP_Label_defa4170-0d19-0005-0004-bc88714345d2_SetDate">
    <vt:lpwstr>2025-04-09T10:54:45Z</vt:lpwstr>
  </property>
  <property fmtid="{D5CDD505-2E9C-101B-9397-08002B2CF9AE}" pid="5" name="MSIP_Label_defa4170-0d19-0005-0004-bc88714345d2_Method">
    <vt:lpwstr>Standard</vt:lpwstr>
  </property>
  <property fmtid="{D5CDD505-2E9C-101B-9397-08002B2CF9AE}" pid="6" name="MSIP_Label_defa4170-0d19-0005-0004-bc88714345d2_Name">
    <vt:lpwstr>defa4170-0d19-0005-0004-bc88714345d2</vt:lpwstr>
  </property>
  <property fmtid="{D5CDD505-2E9C-101B-9397-08002B2CF9AE}" pid="7" name="MSIP_Label_defa4170-0d19-0005-0004-bc88714345d2_SiteId">
    <vt:lpwstr>8fe098d2-428d-4bd4-9803-7195fe96f0e2</vt:lpwstr>
  </property>
  <property fmtid="{D5CDD505-2E9C-101B-9397-08002B2CF9AE}" pid="8" name="MSIP_Label_defa4170-0d19-0005-0004-bc88714345d2_ActionId">
    <vt:lpwstr>f359f6d3-0a44-4af4-8b06-0753837c0930</vt:lpwstr>
  </property>
  <property fmtid="{D5CDD505-2E9C-101B-9397-08002B2CF9AE}" pid="9" name="MSIP_Label_defa4170-0d19-0005-0004-bc88714345d2_ContentBits">
    <vt:lpwstr>0</vt:lpwstr>
  </property>
  <property fmtid="{D5CDD505-2E9C-101B-9397-08002B2CF9AE}" pid="10" name="MSIP_Label_defa4170-0d19-0005-0004-bc88714345d2_Tag">
    <vt:lpwstr>10, 3, 0, 1</vt:lpwstr>
  </property>
</Properties>
</file>