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nnections.xml" ContentType="application/vnd.openxmlformats-officedocument.spreadsheetml.connection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vit-my.sharepoint.com/personal/helmut_hallemaa_elvl_ee/Documents/Töölaud/Hooldereform PIH ÜLH - kvõtted, AR, analüüsid - ELVL/ELVL HOR PIH ÜLH analüüs - rahastam kulud teen os - tab, lõpl/"/>
    </mc:Choice>
  </mc:AlternateContent>
  <xr:revisionPtr revIDLastSave="1319" documentId="13_ncr:1_{8D3D2F56-FBD1-4DC4-970A-8C97B61B9C33}" xr6:coauthVersionLast="47" xr6:coauthVersionMax="47" xr10:uidLastSave="{77E132B6-DB9F-44DA-832E-49C7967D30D2}"/>
  <bookViews>
    <workbookView xWindow="-110" yWindow="-110" windowWidth="19420" windowHeight="10420" firstSheet="4" activeTab="5" xr2:uid="{00000000-000D-0000-FFFF-FFFF00000000}"/>
  </bookViews>
  <sheets>
    <sheet name="HOR, PIH ÜLH analüüs põhita " sheetId="10" r:id="rId1"/>
    <sheet name="HOR PIH ÜLH kulud - võrdlus" sheetId="5" r:id="rId2"/>
    <sheet name="PIH rahastus PTM prognoos" sheetId="2" r:id="rId3"/>
    <sheet name="Demograafiline struktuur " sheetId="3" r:id="rId4"/>
    <sheet name="ÜLHT HOK viibijate arv" sheetId="4" r:id="rId5"/>
    <sheet name="ÜLHHOOLK piirmäärm kekm pension" sheetId="9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5" i="5" l="1"/>
  <c r="AX84" i="5"/>
  <c r="AX83" i="5"/>
  <c r="AX82" i="5"/>
  <c r="AX81" i="5"/>
  <c r="AX80" i="5"/>
  <c r="AX79" i="5"/>
  <c r="AX78" i="5"/>
  <c r="AX77" i="5"/>
  <c r="AX76" i="5"/>
  <c r="AX75" i="5"/>
  <c r="AX74" i="5"/>
  <c r="AX73" i="5"/>
  <c r="AX72" i="5"/>
  <c r="AX71" i="5"/>
  <c r="AX70" i="5"/>
  <c r="AX69" i="5"/>
  <c r="AX68" i="5"/>
  <c r="AX67" i="5"/>
  <c r="AX66" i="5"/>
  <c r="AX65" i="5"/>
  <c r="AX63" i="5"/>
  <c r="AX62" i="5"/>
  <c r="AX61" i="5"/>
  <c r="AX60" i="5"/>
  <c r="AX59" i="5"/>
  <c r="AX58" i="5"/>
  <c r="AX57" i="5"/>
  <c r="AX56" i="5"/>
  <c r="AX55" i="5"/>
  <c r="AX54" i="5"/>
  <c r="AX53" i="5"/>
  <c r="AX52" i="5"/>
  <c r="AX51" i="5"/>
  <c r="AX50" i="5"/>
  <c r="AX49" i="5"/>
  <c r="AX48" i="5"/>
  <c r="AX47" i="5"/>
  <c r="AX46" i="5"/>
  <c r="AX45" i="5"/>
  <c r="AX44" i="5"/>
  <c r="AX43" i="5"/>
  <c r="AX42" i="5"/>
  <c r="AX41" i="5"/>
  <c r="AX39" i="5"/>
  <c r="AX86" i="5"/>
  <c r="AX38" i="5"/>
  <c r="AX37" i="5"/>
  <c r="AX36" i="5"/>
  <c r="AX35" i="5"/>
  <c r="AX34" i="5"/>
  <c r="AX33" i="5"/>
  <c r="AX32" i="5"/>
  <c r="AX31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T85" i="5"/>
  <c r="AT84" i="5"/>
  <c r="AT83" i="5"/>
  <c r="AT82" i="5"/>
  <c r="AT81" i="5"/>
  <c r="AT80" i="5"/>
  <c r="AT79" i="5"/>
  <c r="AT78" i="5"/>
  <c r="AT77" i="5"/>
  <c r="AT76" i="5"/>
  <c r="AT75" i="5"/>
  <c r="AT74" i="5"/>
  <c r="AT73" i="5"/>
  <c r="AT72" i="5"/>
  <c r="AT71" i="5"/>
  <c r="AT70" i="5"/>
  <c r="AT69" i="5"/>
  <c r="AT68" i="5"/>
  <c r="AT67" i="5"/>
  <c r="AT66" i="5"/>
  <c r="AT65" i="5"/>
  <c r="AT63" i="5"/>
  <c r="AT62" i="5"/>
  <c r="AT61" i="5"/>
  <c r="AT60" i="5"/>
  <c r="AT59" i="5"/>
  <c r="AT58" i="5"/>
  <c r="AT57" i="5"/>
  <c r="AT56" i="5"/>
  <c r="AT55" i="5"/>
  <c r="AT54" i="5"/>
  <c r="AT53" i="5"/>
  <c r="AT52" i="5"/>
  <c r="AT51" i="5"/>
  <c r="AT50" i="5"/>
  <c r="AT49" i="5"/>
  <c r="AT48" i="5"/>
  <c r="AT47" i="5"/>
  <c r="AT46" i="5"/>
  <c r="AT45" i="5"/>
  <c r="AT44" i="5"/>
  <c r="AT43" i="5"/>
  <c r="AT42" i="5"/>
  <c r="AT41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86" i="5"/>
  <c r="AT16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7" i="5"/>
  <c r="AT15" i="5"/>
  <c r="AT14" i="5"/>
  <c r="AT13" i="5"/>
  <c r="AT12" i="5"/>
  <c r="AT11" i="5"/>
  <c r="AT10" i="5"/>
  <c r="AT9" i="5"/>
  <c r="AT8" i="5"/>
  <c r="AT7" i="5"/>
  <c r="AP85" i="5"/>
  <c r="AP84" i="5"/>
  <c r="AP83" i="5"/>
  <c r="AP82" i="5"/>
  <c r="AP81" i="5"/>
  <c r="AP80" i="5"/>
  <c r="AP79" i="5"/>
  <c r="AP78" i="5"/>
  <c r="AP77" i="5"/>
  <c r="AP76" i="5"/>
  <c r="AP75" i="5"/>
  <c r="AP74" i="5"/>
  <c r="AP73" i="5"/>
  <c r="AP72" i="5"/>
  <c r="AP71" i="5"/>
  <c r="AP70" i="5"/>
  <c r="AP69" i="5"/>
  <c r="AP68" i="5"/>
  <c r="AP67" i="5"/>
  <c r="AP66" i="5"/>
  <c r="AP65" i="5"/>
  <c r="AP63" i="5"/>
  <c r="AP62" i="5"/>
  <c r="AP61" i="5"/>
  <c r="AP60" i="5"/>
  <c r="AP59" i="5"/>
  <c r="AP58" i="5"/>
  <c r="AP57" i="5"/>
  <c r="AP56" i="5"/>
  <c r="AP55" i="5"/>
  <c r="AP54" i="5"/>
  <c r="AP53" i="5"/>
  <c r="AP52" i="5"/>
  <c r="AP51" i="5"/>
  <c r="AP50" i="5"/>
  <c r="AP49" i="5"/>
  <c r="AP48" i="5"/>
  <c r="AP47" i="5"/>
  <c r="AP46" i="5"/>
  <c r="AP45" i="5"/>
  <c r="AP86" i="5"/>
  <c r="AP44" i="5"/>
  <c r="AP43" i="5"/>
  <c r="AP42" i="5"/>
  <c r="AP41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I72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16" i="3"/>
  <c r="V15" i="3"/>
  <c r="V14" i="3"/>
  <c r="V13" i="3"/>
  <c r="V12" i="3"/>
  <c r="V11" i="3"/>
  <c r="V10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9" i="3"/>
  <c r="V84" i="3"/>
  <c r="V8" i="3"/>
  <c r="V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I62" i="9" l="1"/>
  <c r="O88" i="9"/>
  <c r="O62" i="9"/>
  <c r="O14" i="9"/>
  <c r="O17" i="9"/>
  <c r="O51" i="9"/>
  <c r="O52" i="9"/>
  <c r="O55" i="9"/>
  <c r="O66" i="9"/>
  <c r="O72" i="9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5" i="5"/>
  <c r="BD66" i="5"/>
  <c r="BD67" i="5"/>
  <c r="BD68" i="5"/>
  <c r="BD69" i="5"/>
  <c r="BD70" i="5"/>
  <c r="BD71" i="5"/>
  <c r="BD72" i="5"/>
  <c r="BD73" i="5"/>
  <c r="BD74" i="5"/>
  <c r="BD75" i="5"/>
  <c r="BD76" i="5"/>
  <c r="BD77" i="5"/>
  <c r="BD78" i="5"/>
  <c r="BD79" i="5"/>
  <c r="BD80" i="5"/>
  <c r="BD81" i="5"/>
  <c r="BD82" i="5"/>
  <c r="BD83" i="5"/>
  <c r="BD84" i="5"/>
  <c r="BD85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77" i="5"/>
  <c r="BC78" i="5"/>
  <c r="BC79" i="5"/>
  <c r="BC80" i="5"/>
  <c r="BC81" i="5"/>
  <c r="BC82" i="5"/>
  <c r="BC83" i="5"/>
  <c r="BC84" i="5"/>
  <c r="BC85" i="5"/>
  <c r="BD7" i="5"/>
  <c r="BC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84" i="5"/>
  <c r="AW85" i="5"/>
  <c r="AW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7" i="5"/>
  <c r="AD40" i="5"/>
  <c r="AD64" i="5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V86" i="3" s="1"/>
  <c r="U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7" i="3"/>
  <c r="N86" i="3"/>
  <c r="R86" i="3" s="1"/>
  <c r="S86" i="3" s="1"/>
  <c r="E86" i="3"/>
  <c r="D86" i="3"/>
  <c r="AM86" i="3" s="1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7" i="3"/>
  <c r="AE8" i="3"/>
  <c r="AO8" i="3" s="1"/>
  <c r="AE9" i="3"/>
  <c r="AO9" i="3" s="1"/>
  <c r="AE10" i="3"/>
  <c r="AO10" i="3" s="1"/>
  <c r="AE11" i="3"/>
  <c r="AO11" i="3" s="1"/>
  <c r="AE12" i="3"/>
  <c r="AO12" i="3" s="1"/>
  <c r="AE13" i="3"/>
  <c r="AO13" i="3" s="1"/>
  <c r="AE14" i="3"/>
  <c r="AO14" i="3" s="1"/>
  <c r="AE15" i="3"/>
  <c r="AO15" i="3" s="1"/>
  <c r="AE16" i="3"/>
  <c r="AO16" i="3" s="1"/>
  <c r="AE17" i="3"/>
  <c r="AO17" i="3" s="1"/>
  <c r="AE18" i="3"/>
  <c r="AO18" i="3" s="1"/>
  <c r="AE19" i="3"/>
  <c r="AO19" i="3" s="1"/>
  <c r="AE20" i="3"/>
  <c r="AO20" i="3" s="1"/>
  <c r="AE21" i="3"/>
  <c r="AO21" i="3" s="1"/>
  <c r="AE22" i="3"/>
  <c r="AO22" i="3" s="1"/>
  <c r="AE23" i="3"/>
  <c r="AO23" i="3" s="1"/>
  <c r="AE24" i="3"/>
  <c r="AO24" i="3" s="1"/>
  <c r="AE25" i="3"/>
  <c r="AO25" i="3" s="1"/>
  <c r="AE26" i="3"/>
  <c r="AO26" i="3" s="1"/>
  <c r="AE27" i="3"/>
  <c r="AO27" i="3" s="1"/>
  <c r="AE28" i="3"/>
  <c r="AO28" i="3" s="1"/>
  <c r="AE29" i="3"/>
  <c r="AO29" i="3" s="1"/>
  <c r="AE30" i="3"/>
  <c r="AO30" i="3" s="1"/>
  <c r="AE31" i="3"/>
  <c r="AO31" i="3" s="1"/>
  <c r="AE32" i="3"/>
  <c r="AO32" i="3" s="1"/>
  <c r="AE33" i="3"/>
  <c r="AO33" i="3" s="1"/>
  <c r="AE34" i="3"/>
  <c r="AO34" i="3" s="1"/>
  <c r="AE35" i="3"/>
  <c r="AO35" i="3" s="1"/>
  <c r="AE36" i="3"/>
  <c r="AO36" i="3" s="1"/>
  <c r="AE37" i="3"/>
  <c r="AO37" i="3" s="1"/>
  <c r="AE38" i="3"/>
  <c r="AO38" i="3" s="1"/>
  <c r="AE39" i="3"/>
  <c r="AO39" i="3" s="1"/>
  <c r="AE40" i="3"/>
  <c r="AO40" i="3" s="1"/>
  <c r="AE41" i="3"/>
  <c r="AO41" i="3" s="1"/>
  <c r="AE42" i="3"/>
  <c r="AO42" i="3" s="1"/>
  <c r="AE43" i="3"/>
  <c r="AO43" i="3" s="1"/>
  <c r="AE44" i="3"/>
  <c r="AO44" i="3" s="1"/>
  <c r="AE45" i="3"/>
  <c r="AO45" i="3" s="1"/>
  <c r="AE46" i="3"/>
  <c r="AO46" i="3" s="1"/>
  <c r="AE47" i="3"/>
  <c r="AO47" i="3" s="1"/>
  <c r="AE48" i="3"/>
  <c r="AO48" i="3" s="1"/>
  <c r="AE49" i="3"/>
  <c r="AO49" i="3" s="1"/>
  <c r="AE50" i="3"/>
  <c r="AO50" i="3" s="1"/>
  <c r="AE51" i="3"/>
  <c r="AO51" i="3" s="1"/>
  <c r="AE52" i="3"/>
  <c r="AO52" i="3" s="1"/>
  <c r="AE53" i="3"/>
  <c r="AO53" i="3" s="1"/>
  <c r="AE54" i="3"/>
  <c r="AO54" i="3" s="1"/>
  <c r="AE55" i="3"/>
  <c r="AO55" i="3" s="1"/>
  <c r="AE56" i="3"/>
  <c r="AO56" i="3" s="1"/>
  <c r="AE57" i="3"/>
  <c r="AO57" i="3" s="1"/>
  <c r="AE58" i="3"/>
  <c r="AO58" i="3" s="1"/>
  <c r="AE59" i="3"/>
  <c r="AO59" i="3" s="1"/>
  <c r="AE60" i="3"/>
  <c r="AO60" i="3" s="1"/>
  <c r="AE61" i="3"/>
  <c r="AO61" i="3" s="1"/>
  <c r="AE62" i="3"/>
  <c r="AO62" i="3" s="1"/>
  <c r="AE63" i="3"/>
  <c r="AO63" i="3" s="1"/>
  <c r="AE64" i="3"/>
  <c r="AO64" i="3" s="1"/>
  <c r="AE65" i="3"/>
  <c r="AO65" i="3" s="1"/>
  <c r="AE66" i="3"/>
  <c r="AO66" i="3" s="1"/>
  <c r="AE67" i="3"/>
  <c r="AO67" i="3" s="1"/>
  <c r="AE68" i="3"/>
  <c r="AO68" i="3" s="1"/>
  <c r="AE69" i="3"/>
  <c r="AO69" i="3" s="1"/>
  <c r="AE70" i="3"/>
  <c r="AO70" i="3" s="1"/>
  <c r="AE71" i="3"/>
  <c r="AE72" i="3"/>
  <c r="AO72" i="3" s="1"/>
  <c r="AE73" i="3"/>
  <c r="AO73" i="3" s="1"/>
  <c r="AE74" i="3"/>
  <c r="AO74" i="3" s="1"/>
  <c r="AE75" i="3"/>
  <c r="AO75" i="3" s="1"/>
  <c r="AE76" i="3"/>
  <c r="AO76" i="3" s="1"/>
  <c r="AE77" i="3"/>
  <c r="AO77" i="3" s="1"/>
  <c r="AE78" i="3"/>
  <c r="AO78" i="3" s="1"/>
  <c r="AE79" i="3"/>
  <c r="AO79" i="3" s="1"/>
  <c r="AE80" i="3"/>
  <c r="AO80" i="3" s="1"/>
  <c r="AE81" i="3"/>
  <c r="AO81" i="3" s="1"/>
  <c r="AE82" i="3"/>
  <c r="AO82" i="3" s="1"/>
  <c r="AE83" i="3"/>
  <c r="AO83" i="3" s="1"/>
  <c r="AE84" i="3"/>
  <c r="AO84" i="3" s="1"/>
  <c r="AE85" i="3"/>
  <c r="AO85" i="3" s="1"/>
  <c r="AE7" i="3"/>
  <c r="AO7" i="3" s="1"/>
  <c r="AC86" i="3"/>
  <c r="AH86" i="3" s="1"/>
  <c r="AI86" i="3" s="1"/>
  <c r="AB86" i="3"/>
  <c r="AG86" i="3" s="1"/>
  <c r="AA86" i="3"/>
  <c r="AE86" i="3" s="1"/>
  <c r="AF86" i="3" s="1"/>
  <c r="N8" i="3"/>
  <c r="R8" i="3" s="1"/>
  <c r="N9" i="3"/>
  <c r="R9" i="3" s="1"/>
  <c r="N10" i="3"/>
  <c r="R10" i="3" s="1"/>
  <c r="N11" i="3"/>
  <c r="R11" i="3" s="1"/>
  <c r="N12" i="3"/>
  <c r="R12" i="3" s="1"/>
  <c r="N13" i="3"/>
  <c r="R13" i="3" s="1"/>
  <c r="S13" i="3" s="1"/>
  <c r="N14" i="3"/>
  <c r="R14" i="3" s="1"/>
  <c r="N15" i="3"/>
  <c r="R15" i="3" s="1"/>
  <c r="N16" i="3"/>
  <c r="R16" i="3" s="1"/>
  <c r="N17" i="3"/>
  <c r="R17" i="3" s="1"/>
  <c r="N18" i="3"/>
  <c r="R18" i="3" s="1"/>
  <c r="N19" i="3"/>
  <c r="R19" i="3" s="1"/>
  <c r="N20" i="3"/>
  <c r="R20" i="3" s="1"/>
  <c r="N21" i="3"/>
  <c r="R21" i="3" s="1"/>
  <c r="S21" i="3" s="1"/>
  <c r="N22" i="3"/>
  <c r="R22" i="3" s="1"/>
  <c r="N23" i="3"/>
  <c r="R23" i="3" s="1"/>
  <c r="N24" i="3"/>
  <c r="R24" i="3" s="1"/>
  <c r="N25" i="3"/>
  <c r="R25" i="3" s="1"/>
  <c r="N26" i="3"/>
  <c r="R26" i="3" s="1"/>
  <c r="N27" i="3"/>
  <c r="R27" i="3" s="1"/>
  <c r="N28" i="3"/>
  <c r="R28" i="3" s="1"/>
  <c r="N29" i="3"/>
  <c r="R29" i="3" s="1"/>
  <c r="S29" i="3" s="1"/>
  <c r="N30" i="3"/>
  <c r="R30" i="3" s="1"/>
  <c r="N31" i="3"/>
  <c r="R31" i="3" s="1"/>
  <c r="N32" i="3"/>
  <c r="R32" i="3" s="1"/>
  <c r="N33" i="3"/>
  <c r="R33" i="3" s="1"/>
  <c r="N34" i="3"/>
  <c r="R34" i="3" s="1"/>
  <c r="N35" i="3"/>
  <c r="R35" i="3" s="1"/>
  <c r="N36" i="3"/>
  <c r="R36" i="3" s="1"/>
  <c r="N37" i="3"/>
  <c r="R37" i="3" s="1"/>
  <c r="N38" i="3"/>
  <c r="R38" i="3" s="1"/>
  <c r="N39" i="3"/>
  <c r="R39" i="3" s="1"/>
  <c r="N40" i="3"/>
  <c r="R40" i="3" s="1"/>
  <c r="N41" i="3"/>
  <c r="R41" i="3" s="1"/>
  <c r="N42" i="3"/>
  <c r="R42" i="3" s="1"/>
  <c r="N43" i="3"/>
  <c r="R43" i="3" s="1"/>
  <c r="N44" i="3"/>
  <c r="R44" i="3" s="1"/>
  <c r="N45" i="3"/>
  <c r="R45" i="3" s="1"/>
  <c r="N46" i="3"/>
  <c r="R46" i="3" s="1"/>
  <c r="N47" i="3"/>
  <c r="R47" i="3" s="1"/>
  <c r="N48" i="3"/>
  <c r="R48" i="3" s="1"/>
  <c r="N49" i="3"/>
  <c r="R49" i="3" s="1"/>
  <c r="N50" i="3"/>
  <c r="R50" i="3" s="1"/>
  <c r="N51" i="3"/>
  <c r="R51" i="3" s="1"/>
  <c r="N52" i="3"/>
  <c r="R52" i="3" s="1"/>
  <c r="N53" i="3"/>
  <c r="R53" i="3" s="1"/>
  <c r="N54" i="3"/>
  <c r="R54" i="3" s="1"/>
  <c r="N55" i="3"/>
  <c r="R55" i="3" s="1"/>
  <c r="N56" i="3"/>
  <c r="R56" i="3" s="1"/>
  <c r="N57" i="3"/>
  <c r="R57" i="3" s="1"/>
  <c r="N58" i="3"/>
  <c r="R58" i="3" s="1"/>
  <c r="N59" i="3"/>
  <c r="R59" i="3" s="1"/>
  <c r="N60" i="3"/>
  <c r="R60" i="3" s="1"/>
  <c r="N61" i="3"/>
  <c r="R61" i="3" s="1"/>
  <c r="N62" i="3"/>
  <c r="R62" i="3" s="1"/>
  <c r="N63" i="3"/>
  <c r="R63" i="3" s="1"/>
  <c r="N64" i="3"/>
  <c r="R64" i="3" s="1"/>
  <c r="N65" i="3"/>
  <c r="R65" i="3" s="1"/>
  <c r="N66" i="3"/>
  <c r="R66" i="3" s="1"/>
  <c r="N67" i="3"/>
  <c r="R67" i="3" s="1"/>
  <c r="N68" i="3"/>
  <c r="R68" i="3" s="1"/>
  <c r="N69" i="3"/>
  <c r="R69" i="3" s="1"/>
  <c r="N70" i="3"/>
  <c r="R70" i="3" s="1"/>
  <c r="N71" i="3"/>
  <c r="R71" i="3" s="1"/>
  <c r="N72" i="3"/>
  <c r="R72" i="3" s="1"/>
  <c r="N73" i="3"/>
  <c r="R73" i="3" s="1"/>
  <c r="N74" i="3"/>
  <c r="R74" i="3" s="1"/>
  <c r="N75" i="3"/>
  <c r="R75" i="3" s="1"/>
  <c r="N76" i="3"/>
  <c r="R76" i="3" s="1"/>
  <c r="N77" i="3"/>
  <c r="R77" i="3" s="1"/>
  <c r="S77" i="3" s="1"/>
  <c r="N78" i="3"/>
  <c r="R78" i="3" s="1"/>
  <c r="N79" i="3"/>
  <c r="R79" i="3" s="1"/>
  <c r="N80" i="3"/>
  <c r="R80" i="3" s="1"/>
  <c r="N81" i="3"/>
  <c r="R81" i="3" s="1"/>
  <c r="N82" i="3"/>
  <c r="R82" i="3" s="1"/>
  <c r="N83" i="3"/>
  <c r="R83" i="3" s="1"/>
  <c r="N84" i="3"/>
  <c r="R84" i="3" s="1"/>
  <c r="N85" i="3"/>
  <c r="R85" i="3" s="1"/>
  <c r="S85" i="3" s="1"/>
  <c r="N7" i="3"/>
  <c r="R7" i="3" s="1"/>
  <c r="I86" i="9"/>
  <c r="O86" i="9" s="1"/>
  <c r="I85" i="9"/>
  <c r="O85" i="9" s="1"/>
  <c r="I84" i="9"/>
  <c r="O84" i="9" s="1"/>
  <c r="I83" i="9"/>
  <c r="O83" i="9" s="1"/>
  <c r="I82" i="9"/>
  <c r="O82" i="9" s="1"/>
  <c r="I81" i="9"/>
  <c r="O81" i="9" s="1"/>
  <c r="I80" i="9"/>
  <c r="O80" i="9" s="1"/>
  <c r="I79" i="9"/>
  <c r="O79" i="9" s="1"/>
  <c r="I78" i="9"/>
  <c r="O78" i="9" s="1"/>
  <c r="I77" i="9"/>
  <c r="O77" i="9" s="1"/>
  <c r="I76" i="9"/>
  <c r="O76" i="9" s="1"/>
  <c r="I75" i="9"/>
  <c r="O75" i="9" s="1"/>
  <c r="I74" i="9"/>
  <c r="O74" i="9" s="1"/>
  <c r="I73" i="9"/>
  <c r="O73" i="9" s="1"/>
  <c r="I71" i="9"/>
  <c r="O71" i="9" s="1"/>
  <c r="I70" i="9"/>
  <c r="O70" i="9" s="1"/>
  <c r="I69" i="9"/>
  <c r="O69" i="9" s="1"/>
  <c r="I68" i="9"/>
  <c r="O68" i="9" s="1"/>
  <c r="I67" i="9"/>
  <c r="O67" i="9" s="1"/>
  <c r="I65" i="9"/>
  <c r="O65" i="9" s="1"/>
  <c r="I64" i="9"/>
  <c r="O64" i="9" s="1"/>
  <c r="I63" i="9"/>
  <c r="O63" i="9" s="1"/>
  <c r="I61" i="9"/>
  <c r="O61" i="9" s="1"/>
  <c r="I60" i="9"/>
  <c r="O60" i="9" s="1"/>
  <c r="I59" i="9"/>
  <c r="O59" i="9" s="1"/>
  <c r="I58" i="9"/>
  <c r="O58" i="9" s="1"/>
  <c r="I57" i="9"/>
  <c r="O57" i="9" s="1"/>
  <c r="I56" i="9"/>
  <c r="O56" i="9" s="1"/>
  <c r="I54" i="9"/>
  <c r="O54" i="9" s="1"/>
  <c r="I53" i="9"/>
  <c r="O53" i="9" s="1"/>
  <c r="I50" i="9"/>
  <c r="O50" i="9" s="1"/>
  <c r="I49" i="9"/>
  <c r="O49" i="9" s="1"/>
  <c r="I48" i="9"/>
  <c r="O48" i="9" s="1"/>
  <c r="I47" i="9"/>
  <c r="O47" i="9" s="1"/>
  <c r="I46" i="9"/>
  <c r="O46" i="9" s="1"/>
  <c r="I45" i="9"/>
  <c r="O45" i="9" s="1"/>
  <c r="I44" i="9"/>
  <c r="O44" i="9" s="1"/>
  <c r="I43" i="9"/>
  <c r="O43" i="9" s="1"/>
  <c r="I42" i="9"/>
  <c r="O42" i="9" s="1"/>
  <c r="I41" i="9"/>
  <c r="O41" i="9" s="1"/>
  <c r="I40" i="9"/>
  <c r="O40" i="9" s="1"/>
  <c r="I39" i="9"/>
  <c r="O39" i="9" s="1"/>
  <c r="I38" i="9"/>
  <c r="O38" i="9" s="1"/>
  <c r="I37" i="9"/>
  <c r="O37" i="9" s="1"/>
  <c r="I36" i="9"/>
  <c r="O36" i="9" s="1"/>
  <c r="I35" i="9"/>
  <c r="O35" i="9" s="1"/>
  <c r="I34" i="9"/>
  <c r="O34" i="9" s="1"/>
  <c r="I32" i="9"/>
  <c r="O32" i="9" s="1"/>
  <c r="I31" i="9"/>
  <c r="O31" i="9" s="1"/>
  <c r="I30" i="9"/>
  <c r="O30" i="9" s="1"/>
  <c r="I29" i="9"/>
  <c r="O29" i="9" s="1"/>
  <c r="I28" i="9"/>
  <c r="O28" i="9" s="1"/>
  <c r="I27" i="9"/>
  <c r="O27" i="9" s="1"/>
  <c r="I26" i="9"/>
  <c r="O26" i="9" s="1"/>
  <c r="I25" i="9"/>
  <c r="O25" i="9" s="1"/>
  <c r="I24" i="9"/>
  <c r="O24" i="9" s="1"/>
  <c r="I23" i="9"/>
  <c r="O23" i="9" s="1"/>
  <c r="I22" i="9"/>
  <c r="O22" i="9" s="1"/>
  <c r="I21" i="9"/>
  <c r="O21" i="9" s="1"/>
  <c r="I20" i="9"/>
  <c r="O20" i="9" s="1"/>
  <c r="I19" i="9"/>
  <c r="O19" i="9" s="1"/>
  <c r="I18" i="9"/>
  <c r="O18" i="9" s="1"/>
  <c r="I16" i="9"/>
  <c r="O16" i="9" s="1"/>
  <c r="I15" i="9"/>
  <c r="O15" i="9" s="1"/>
  <c r="I14" i="9"/>
  <c r="I13" i="9"/>
  <c r="O13" i="9" s="1"/>
  <c r="I12" i="9"/>
  <c r="O12" i="9" s="1"/>
  <c r="I11" i="9"/>
  <c r="O11" i="9" s="1"/>
  <c r="I10" i="9"/>
  <c r="O10" i="9" s="1"/>
  <c r="I9" i="9"/>
  <c r="O9" i="9" s="1"/>
  <c r="I8" i="9"/>
  <c r="O8" i="9" s="1"/>
  <c r="S27" i="3" l="1"/>
  <c r="S28" i="3"/>
  <c r="S17" i="3"/>
  <c r="S81" i="3"/>
  <c r="S25" i="3"/>
  <c r="S9" i="3"/>
  <c r="AS74" i="3"/>
  <c r="AS24" i="3"/>
  <c r="AS44" i="3"/>
  <c r="AS35" i="3"/>
  <c r="V85" i="3"/>
  <c r="S80" i="3"/>
  <c r="S24" i="3"/>
  <c r="S16" i="3"/>
  <c r="S8" i="3"/>
  <c r="S79" i="3"/>
  <c r="S23" i="3"/>
  <c r="S15" i="3"/>
  <c r="S7" i="3"/>
  <c r="S78" i="3"/>
  <c r="S22" i="3"/>
  <c r="S14" i="3"/>
  <c r="S84" i="3"/>
  <c r="S20" i="3"/>
  <c r="S12" i="3"/>
  <c r="AO71" i="3"/>
  <c r="S83" i="3"/>
  <c r="S19" i="3"/>
  <c r="S11" i="3"/>
  <c r="S82" i="3"/>
  <c r="S26" i="3"/>
  <c r="S18" i="3"/>
  <c r="S10" i="3"/>
  <c r="AT86" i="3"/>
  <c r="AV81" i="3" s="1"/>
  <c r="AQ86" i="3"/>
  <c r="AS56" i="3" s="1"/>
  <c r="AN86" i="3"/>
  <c r="G86" i="3"/>
  <c r="H59" i="3" s="1"/>
  <c r="AF67" i="3"/>
  <c r="AI80" i="3"/>
  <c r="AI40" i="3"/>
  <c r="AF83" i="3"/>
  <c r="AF75" i="3"/>
  <c r="AF59" i="3"/>
  <c r="AF51" i="3"/>
  <c r="AF43" i="3"/>
  <c r="AF35" i="3"/>
  <c r="AF27" i="3"/>
  <c r="AI81" i="3"/>
  <c r="AI73" i="3"/>
  <c r="AI65" i="3"/>
  <c r="AI57" i="3"/>
  <c r="AI49" i="3"/>
  <c r="AI41" i="3"/>
  <c r="AI33" i="3"/>
  <c r="AI25" i="3"/>
  <c r="AI17" i="3"/>
  <c r="AI9" i="3"/>
  <c r="AI79" i="3"/>
  <c r="AI71" i="3"/>
  <c r="AI63" i="3"/>
  <c r="AI55" i="3"/>
  <c r="AI47" i="3"/>
  <c r="AI39" i="3"/>
  <c r="AI31" i="3"/>
  <c r="AI23" i="3"/>
  <c r="AI15" i="3"/>
  <c r="AF82" i="3"/>
  <c r="AF74" i="3"/>
  <c r="AF66" i="3"/>
  <c r="AI64" i="3"/>
  <c r="AF56" i="3"/>
  <c r="AF40" i="3"/>
  <c r="AF32" i="3"/>
  <c r="AF49" i="3"/>
  <c r="AI34" i="3"/>
  <c r="AI26" i="3"/>
  <c r="AI18" i="3"/>
  <c r="AF48" i="3"/>
  <c r="AF58" i="3"/>
  <c r="AF50" i="3"/>
  <c r="AF42" i="3"/>
  <c r="AF34" i="3"/>
  <c r="AI56" i="3"/>
  <c r="AI48" i="3"/>
  <c r="AI32" i="3"/>
  <c r="AI24" i="3"/>
  <c r="AI16" i="3"/>
  <c r="AI8" i="3"/>
  <c r="AF80" i="3"/>
  <c r="AF72" i="3"/>
  <c r="AF64" i="3"/>
  <c r="AF24" i="3"/>
  <c r="AI7" i="3"/>
  <c r="AI78" i="3"/>
  <c r="AI70" i="3"/>
  <c r="AI62" i="3"/>
  <c r="AI54" i="3"/>
  <c r="AI46" i="3"/>
  <c r="AI38" i="3"/>
  <c r="AI30" i="3"/>
  <c r="AI22" i="3"/>
  <c r="AI14" i="3"/>
  <c r="AF65" i="3"/>
  <c r="AF33" i="3"/>
  <c r="AF79" i="3"/>
  <c r="AF71" i="3"/>
  <c r="AF63" i="3"/>
  <c r="AF55" i="3"/>
  <c r="AF47" i="3"/>
  <c r="AF39" i="3"/>
  <c r="AF31" i="3"/>
  <c r="AF23" i="3"/>
  <c r="AI85" i="3"/>
  <c r="AI77" i="3"/>
  <c r="AI69" i="3"/>
  <c r="AI61" i="3"/>
  <c r="AI53" i="3"/>
  <c r="AI45" i="3"/>
  <c r="AI37" i="3"/>
  <c r="AI29" i="3"/>
  <c r="AI21" i="3"/>
  <c r="AI13" i="3"/>
  <c r="AF73" i="3"/>
  <c r="AF41" i="3"/>
  <c r="AF26" i="3"/>
  <c r="AF78" i="3"/>
  <c r="AF70" i="3"/>
  <c r="AF62" i="3"/>
  <c r="AF54" i="3"/>
  <c r="AF46" i="3"/>
  <c r="AF38" i="3"/>
  <c r="AF30" i="3"/>
  <c r="AI84" i="3"/>
  <c r="AI76" i="3"/>
  <c r="AI68" i="3"/>
  <c r="AI60" i="3"/>
  <c r="AI52" i="3"/>
  <c r="AI44" i="3"/>
  <c r="AI36" i="3"/>
  <c r="AI28" i="3"/>
  <c r="AI20" i="3"/>
  <c r="AI12" i="3"/>
  <c r="AF85" i="3"/>
  <c r="AF77" i="3"/>
  <c r="AF69" i="3"/>
  <c r="AF61" i="3"/>
  <c r="AF53" i="3"/>
  <c r="AF45" i="3"/>
  <c r="AF37" i="3"/>
  <c r="AF29" i="3"/>
  <c r="AI83" i="3"/>
  <c r="AI75" i="3"/>
  <c r="AI67" i="3"/>
  <c r="AI59" i="3"/>
  <c r="AI51" i="3"/>
  <c r="AI43" i="3"/>
  <c r="AI35" i="3"/>
  <c r="AI27" i="3"/>
  <c r="AI19" i="3"/>
  <c r="AI11" i="3"/>
  <c r="AF81" i="3"/>
  <c r="AF57" i="3"/>
  <c r="AF25" i="3"/>
  <c r="AF84" i="3"/>
  <c r="AF76" i="3"/>
  <c r="AF68" i="3"/>
  <c r="AF60" i="3"/>
  <c r="AF52" i="3"/>
  <c r="AF44" i="3"/>
  <c r="AF36" i="3"/>
  <c r="AF28" i="3"/>
  <c r="AI82" i="3"/>
  <c r="AI74" i="3"/>
  <c r="AI66" i="3"/>
  <c r="AI58" i="3"/>
  <c r="AI50" i="3"/>
  <c r="AI42" i="3"/>
  <c r="AI10" i="3"/>
  <c r="AF21" i="3"/>
  <c r="AF16" i="3"/>
  <c r="AF8" i="3"/>
  <c r="AF22" i="3"/>
  <c r="AF20" i="3"/>
  <c r="AF12" i="3"/>
  <c r="AF18" i="3"/>
  <c r="AF10" i="3"/>
  <c r="AF17" i="3"/>
  <c r="AF9" i="3"/>
  <c r="AF7" i="3"/>
  <c r="AF14" i="3"/>
  <c r="AF19" i="3"/>
  <c r="AF15" i="3"/>
  <c r="AF11" i="3"/>
  <c r="AF13" i="3"/>
  <c r="H33" i="9"/>
  <c r="I33" i="9" s="1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6" i="4"/>
  <c r="Y118" i="4"/>
  <c r="AS59" i="3" l="1"/>
  <c r="AS67" i="3"/>
  <c r="AS13" i="3"/>
  <c r="AS17" i="3"/>
  <c r="AS21" i="3"/>
  <c r="AS25" i="3"/>
  <c r="AS30" i="3"/>
  <c r="AS49" i="3"/>
  <c r="AS54" i="3"/>
  <c r="AS18" i="3"/>
  <c r="AV21" i="3"/>
  <c r="AV45" i="3"/>
  <c r="AV19" i="3"/>
  <c r="AV52" i="3"/>
  <c r="AV15" i="3"/>
  <c r="AV47" i="3"/>
  <c r="AV43" i="3"/>
  <c r="AV76" i="3"/>
  <c r="AV16" i="3"/>
  <c r="AV33" i="3"/>
  <c r="AV51" i="3"/>
  <c r="AV55" i="3"/>
  <c r="AV40" i="3"/>
  <c r="AV41" i="3"/>
  <c r="AS45" i="3"/>
  <c r="AS32" i="3"/>
  <c r="AS81" i="3"/>
  <c r="AV59" i="3"/>
  <c r="AV32" i="3"/>
  <c r="AV56" i="3"/>
  <c r="AV65" i="3"/>
  <c r="AS22" i="3"/>
  <c r="AV24" i="3"/>
  <c r="AV12" i="3"/>
  <c r="AV18" i="3"/>
  <c r="AV20" i="3"/>
  <c r="AV53" i="3"/>
  <c r="AV62" i="3"/>
  <c r="AV26" i="3"/>
  <c r="AV30" i="3"/>
  <c r="AV54" i="3"/>
  <c r="AV28" i="3"/>
  <c r="AV61" i="3"/>
  <c r="AV70" i="3"/>
  <c r="AV50" i="3"/>
  <c r="AS77" i="3"/>
  <c r="AS50" i="3"/>
  <c r="AS42" i="3"/>
  <c r="AS68" i="3"/>
  <c r="AS19" i="3"/>
  <c r="AS70" i="3"/>
  <c r="AS66" i="3"/>
  <c r="AS58" i="3"/>
  <c r="AS34" i="3"/>
  <c r="AS26" i="3"/>
  <c r="AS69" i="3"/>
  <c r="AS12" i="3"/>
  <c r="AS63" i="3"/>
  <c r="AS55" i="3"/>
  <c r="AS47" i="3"/>
  <c r="AS39" i="3"/>
  <c r="AS31" i="3"/>
  <c r="AS23" i="3"/>
  <c r="AV67" i="3"/>
  <c r="AV36" i="3"/>
  <c r="AV72" i="3"/>
  <c r="AV69" i="3"/>
  <c r="AV14" i="3"/>
  <c r="AV23" i="3"/>
  <c r="AV49" i="3"/>
  <c r="AV34" i="3"/>
  <c r="AS29" i="3"/>
  <c r="AS38" i="3"/>
  <c r="AS75" i="3"/>
  <c r="AS40" i="3"/>
  <c r="AS33" i="3"/>
  <c r="AS27" i="3"/>
  <c r="AV11" i="3"/>
  <c r="AV75" i="3"/>
  <c r="AV44" i="3"/>
  <c r="AV13" i="3"/>
  <c r="AV77" i="3"/>
  <c r="AV22" i="3"/>
  <c r="AV31" i="3"/>
  <c r="AV57" i="3"/>
  <c r="AV42" i="3"/>
  <c r="AS37" i="3"/>
  <c r="AS46" i="3"/>
  <c r="AS28" i="3"/>
  <c r="AS48" i="3"/>
  <c r="AS41" i="3"/>
  <c r="AS51" i="3"/>
  <c r="H70" i="3"/>
  <c r="H56" i="3"/>
  <c r="AS10" i="3"/>
  <c r="AV27" i="3"/>
  <c r="AV48" i="3"/>
  <c r="AV60" i="3"/>
  <c r="AV29" i="3"/>
  <c r="AV39" i="3"/>
  <c r="AV38" i="3"/>
  <c r="AV71" i="3"/>
  <c r="AV73" i="3"/>
  <c r="AV58" i="3"/>
  <c r="AS53" i="3"/>
  <c r="AS62" i="3"/>
  <c r="AS76" i="3"/>
  <c r="AS64" i="3"/>
  <c r="AS57" i="3"/>
  <c r="AS20" i="3"/>
  <c r="AS80" i="3"/>
  <c r="AV35" i="3"/>
  <c r="AV64" i="3"/>
  <c r="AV68" i="3"/>
  <c r="AV37" i="3"/>
  <c r="AV63" i="3"/>
  <c r="AV46" i="3"/>
  <c r="AV17" i="3"/>
  <c r="AV66" i="3"/>
  <c r="AS61" i="3"/>
  <c r="AS15" i="3"/>
  <c r="AS52" i="3"/>
  <c r="AS72" i="3"/>
  <c r="AS65" i="3"/>
  <c r="AS36" i="3"/>
  <c r="AV25" i="3"/>
  <c r="AV10" i="3"/>
  <c r="AV74" i="3"/>
  <c r="AS14" i="3"/>
  <c r="AS71" i="3"/>
  <c r="AS16" i="3"/>
  <c r="AS43" i="3"/>
  <c r="AS73" i="3"/>
  <c r="AS60" i="3"/>
  <c r="AS11" i="3"/>
  <c r="AV86" i="3"/>
  <c r="AV78" i="3"/>
  <c r="AV80" i="3"/>
  <c r="AV79" i="3"/>
  <c r="AS86" i="3"/>
  <c r="AS78" i="3"/>
  <c r="AS79" i="3"/>
  <c r="H57" i="3"/>
  <c r="H12" i="3"/>
  <c r="H39" i="3"/>
  <c r="H60" i="3"/>
  <c r="H46" i="3"/>
  <c r="H72" i="3"/>
  <c r="H54" i="3"/>
  <c r="H20" i="3"/>
  <c r="H31" i="3"/>
  <c r="H26" i="3"/>
  <c r="H13" i="3"/>
  <c r="H66" i="3"/>
  <c r="H53" i="3"/>
  <c r="H63" i="3"/>
  <c r="H19" i="3"/>
  <c r="H61" i="3"/>
  <c r="H48" i="3"/>
  <c r="H35" i="3"/>
  <c r="H69" i="3"/>
  <c r="H62" i="3"/>
  <c r="H47" i="3"/>
  <c r="H64" i="3"/>
  <c r="H18" i="3"/>
  <c r="H27" i="3"/>
  <c r="H21" i="3"/>
  <c r="H36" i="3"/>
  <c r="H65" i="3"/>
  <c r="H71" i="3"/>
  <c r="H17" i="3"/>
  <c r="H34" i="3"/>
  <c r="H43" i="3"/>
  <c r="H29" i="3"/>
  <c r="H14" i="3"/>
  <c r="H28" i="3"/>
  <c r="H41" i="3"/>
  <c r="H25" i="3"/>
  <c r="H42" i="3"/>
  <c r="H51" i="3"/>
  <c r="H37" i="3"/>
  <c r="H22" i="3"/>
  <c r="H15" i="3"/>
  <c r="H44" i="3"/>
  <c r="H33" i="3"/>
  <c r="H50" i="3"/>
  <c r="H74" i="3"/>
  <c r="H38" i="3"/>
  <c r="H32" i="3"/>
  <c r="H52" i="3"/>
  <c r="H55" i="3"/>
  <c r="H24" i="3"/>
  <c r="H16" i="3"/>
  <c r="H68" i="3"/>
  <c r="H45" i="3"/>
  <c r="H30" i="3"/>
  <c r="H23" i="3"/>
  <c r="H40" i="3"/>
  <c r="H49" i="3"/>
  <c r="H58" i="3"/>
  <c r="H67" i="3"/>
  <c r="AS8" i="3"/>
  <c r="AV84" i="3"/>
  <c r="AV85" i="3"/>
  <c r="AO86" i="3"/>
  <c r="AP85" i="3" s="1"/>
  <c r="AV7" i="3"/>
  <c r="AV9" i="3"/>
  <c r="AV8" i="3"/>
  <c r="AV82" i="3"/>
  <c r="AS7" i="3"/>
  <c r="AV83" i="3"/>
  <c r="AS85" i="3"/>
  <c r="AS9" i="3"/>
  <c r="AS83" i="3"/>
  <c r="AS82" i="3"/>
  <c r="AS84" i="3"/>
  <c r="H79" i="3"/>
  <c r="H10" i="3"/>
  <c r="H78" i="3"/>
  <c r="H11" i="3"/>
  <c r="H75" i="3"/>
  <c r="H73" i="3"/>
  <c r="H76" i="3"/>
  <c r="H77" i="3"/>
  <c r="H84" i="3"/>
  <c r="H81" i="3"/>
  <c r="H80" i="3"/>
  <c r="H82" i="3"/>
  <c r="H85" i="3"/>
  <c r="H83" i="3"/>
  <c r="H86" i="3"/>
  <c r="H8" i="3"/>
  <c r="H9" i="3"/>
  <c r="H7" i="3"/>
  <c r="W86" i="4"/>
  <c r="AP40" i="3" l="1"/>
  <c r="AP84" i="3"/>
  <c r="AP59" i="3"/>
  <c r="AP37" i="3"/>
  <c r="AP67" i="3"/>
  <c r="AP70" i="3"/>
  <c r="AP20" i="3"/>
  <c r="AP38" i="3"/>
  <c r="AP28" i="3"/>
  <c r="AP34" i="3"/>
  <c r="AP16" i="3"/>
  <c r="AP46" i="3"/>
  <c r="AP13" i="3"/>
  <c r="AP33" i="3"/>
  <c r="AP44" i="3"/>
  <c r="AP78" i="3"/>
  <c r="AP30" i="3"/>
  <c r="AP62" i="3"/>
  <c r="AP36" i="3"/>
  <c r="AP55" i="3"/>
  <c r="AP45" i="3"/>
  <c r="AP60" i="3"/>
  <c r="AP72" i="3"/>
  <c r="AP21" i="3"/>
  <c r="AP81" i="3"/>
  <c r="AP66" i="3"/>
  <c r="AP39" i="3"/>
  <c r="AP73" i="3"/>
  <c r="AP7" i="3"/>
  <c r="AP54" i="3"/>
  <c r="AP41" i="3"/>
  <c r="AP42" i="3"/>
  <c r="AP47" i="3"/>
  <c r="AP9" i="3"/>
  <c r="AP65" i="3"/>
  <c r="AP57" i="3"/>
  <c r="AP71" i="3"/>
  <c r="AP19" i="3"/>
  <c r="AP82" i="3"/>
  <c r="AP43" i="3"/>
  <c r="AP18" i="3"/>
  <c r="AP75" i="3"/>
  <c r="AP12" i="3"/>
  <c r="AP11" i="3"/>
  <c r="AP10" i="3"/>
  <c r="AP64" i="3"/>
  <c r="AP56" i="3"/>
  <c r="AP48" i="3"/>
  <c r="AP14" i="3"/>
  <c r="AP53" i="3"/>
  <c r="AP32" i="3"/>
  <c r="AP52" i="3"/>
  <c r="AP17" i="3"/>
  <c r="AP35" i="3"/>
  <c r="AP68" i="3"/>
  <c r="AP77" i="3"/>
  <c r="AP79" i="3"/>
  <c r="AP22" i="3"/>
  <c r="AP63" i="3"/>
  <c r="AP76" i="3"/>
  <c r="AP8" i="3"/>
  <c r="AP25" i="3"/>
  <c r="AP83" i="3"/>
  <c r="AP31" i="3"/>
  <c r="AP23" i="3"/>
  <c r="AP29" i="3"/>
  <c r="AP49" i="3"/>
  <c r="AP51" i="3"/>
  <c r="AP15" i="3"/>
  <c r="AP50" i="3"/>
  <c r="AP27" i="3"/>
  <c r="AP74" i="3"/>
  <c r="AP24" i="3"/>
  <c r="AP69" i="3"/>
  <c r="AP80" i="3"/>
  <c r="AP58" i="3"/>
  <c r="AP61" i="3"/>
  <c r="AP86" i="3"/>
  <c r="AP26" i="3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7" i="5"/>
  <c r="AC86" i="5"/>
  <c r="AG86" i="5"/>
  <c r="AF86" i="5"/>
  <c r="X86" i="5"/>
  <c r="W86" i="5"/>
  <c r="T86" i="5"/>
  <c r="U86" i="5"/>
  <c r="Q86" i="5"/>
  <c r="R86" i="5"/>
  <c r="AH86" i="5"/>
  <c r="AS86" i="5" l="1"/>
  <c r="AW86" i="5"/>
  <c r="AV86" i="5"/>
  <c r="BC86" i="5"/>
  <c r="BD86" i="5"/>
  <c r="AO86" i="5"/>
  <c r="AD86" i="5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6" i="4"/>
  <c r="Y86" i="4"/>
  <c r="X86" i="4"/>
  <c r="AF86" i="4" s="1"/>
  <c r="V86" i="4"/>
  <c r="U86" i="4"/>
  <c r="H86" i="10"/>
  <c r="F85" i="10"/>
  <c r="E85" i="10"/>
  <c r="D85" i="10"/>
  <c r="C85" i="10"/>
  <c r="F84" i="10"/>
  <c r="E84" i="10"/>
  <c r="D84" i="10"/>
  <c r="C84" i="10"/>
  <c r="F83" i="10"/>
  <c r="E83" i="10"/>
  <c r="D83" i="10"/>
  <c r="C83" i="10"/>
  <c r="F82" i="10"/>
  <c r="E82" i="10"/>
  <c r="D82" i="10"/>
  <c r="C82" i="10"/>
  <c r="F81" i="10"/>
  <c r="E81" i="10"/>
  <c r="D81" i="10"/>
  <c r="C81" i="10"/>
  <c r="F80" i="10"/>
  <c r="E80" i="10"/>
  <c r="D80" i="10"/>
  <c r="C80" i="10"/>
  <c r="F79" i="10"/>
  <c r="E79" i="10"/>
  <c r="D79" i="10"/>
  <c r="C79" i="10"/>
  <c r="F78" i="10"/>
  <c r="E78" i="10"/>
  <c r="D78" i="10"/>
  <c r="C78" i="10"/>
  <c r="F77" i="10"/>
  <c r="E77" i="10"/>
  <c r="D77" i="10"/>
  <c r="C77" i="10"/>
  <c r="F76" i="10"/>
  <c r="E76" i="10"/>
  <c r="D76" i="10"/>
  <c r="C76" i="10"/>
  <c r="F75" i="10"/>
  <c r="E75" i="10"/>
  <c r="D75" i="10"/>
  <c r="C75" i="10"/>
  <c r="F74" i="10"/>
  <c r="E74" i="10"/>
  <c r="D74" i="10"/>
  <c r="C74" i="10"/>
  <c r="F73" i="10"/>
  <c r="E73" i="10"/>
  <c r="D73" i="10"/>
  <c r="C73" i="10"/>
  <c r="F72" i="10"/>
  <c r="E72" i="10"/>
  <c r="D72" i="10"/>
  <c r="C72" i="10"/>
  <c r="F71" i="10"/>
  <c r="E71" i="10"/>
  <c r="D71" i="10"/>
  <c r="C71" i="10"/>
  <c r="F70" i="10"/>
  <c r="E70" i="10"/>
  <c r="D70" i="10"/>
  <c r="C70" i="10"/>
  <c r="F69" i="10"/>
  <c r="E69" i="10"/>
  <c r="D69" i="10"/>
  <c r="C69" i="10"/>
  <c r="F68" i="10"/>
  <c r="E68" i="10"/>
  <c r="D68" i="10"/>
  <c r="C68" i="10"/>
  <c r="F67" i="10"/>
  <c r="E67" i="10"/>
  <c r="D67" i="10"/>
  <c r="C67" i="10"/>
  <c r="F66" i="10"/>
  <c r="E66" i="10"/>
  <c r="D66" i="10"/>
  <c r="C66" i="10"/>
  <c r="F65" i="10"/>
  <c r="E65" i="10"/>
  <c r="D65" i="10"/>
  <c r="C65" i="10"/>
  <c r="F64" i="10"/>
  <c r="E64" i="10"/>
  <c r="D64" i="10"/>
  <c r="C64" i="10"/>
  <c r="F63" i="10"/>
  <c r="E63" i="10"/>
  <c r="D63" i="10"/>
  <c r="C63" i="10"/>
  <c r="F62" i="10"/>
  <c r="E62" i="10"/>
  <c r="D62" i="10"/>
  <c r="C62" i="10"/>
  <c r="F61" i="10"/>
  <c r="E61" i="10"/>
  <c r="D61" i="10"/>
  <c r="C61" i="10"/>
  <c r="F60" i="10"/>
  <c r="E60" i="10"/>
  <c r="D60" i="10"/>
  <c r="C60" i="10"/>
  <c r="F59" i="10"/>
  <c r="E59" i="10"/>
  <c r="D59" i="10"/>
  <c r="C59" i="10"/>
  <c r="F58" i="10"/>
  <c r="E58" i="10"/>
  <c r="D58" i="10"/>
  <c r="C58" i="10"/>
  <c r="F57" i="10"/>
  <c r="E57" i="10"/>
  <c r="D57" i="10"/>
  <c r="C57" i="10"/>
  <c r="F56" i="10"/>
  <c r="E56" i="10"/>
  <c r="D56" i="10"/>
  <c r="C56" i="10"/>
  <c r="F55" i="10"/>
  <c r="E55" i="10"/>
  <c r="D55" i="10"/>
  <c r="C55" i="10"/>
  <c r="F54" i="10"/>
  <c r="E54" i="10"/>
  <c r="D54" i="10"/>
  <c r="C54" i="10"/>
  <c r="F53" i="10"/>
  <c r="E53" i="10"/>
  <c r="D53" i="10"/>
  <c r="C53" i="10"/>
  <c r="F52" i="10"/>
  <c r="E52" i="10"/>
  <c r="D52" i="10"/>
  <c r="C52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F35" i="10"/>
  <c r="E35" i="10"/>
  <c r="D35" i="10"/>
  <c r="C35" i="10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F8" i="10"/>
  <c r="E8" i="10"/>
  <c r="D8" i="10"/>
  <c r="C8" i="10"/>
  <c r="F7" i="10"/>
  <c r="E7" i="10"/>
  <c r="D7" i="10"/>
  <c r="C7" i="10"/>
  <c r="J86" i="5"/>
  <c r="BF55" i="5" l="1"/>
  <c r="BF62" i="5"/>
  <c r="BF44" i="5"/>
  <c r="BF26" i="5"/>
  <c r="BF66" i="5"/>
  <c r="BF39" i="5"/>
  <c r="BF34" i="5"/>
  <c r="BF61" i="5"/>
  <c r="BF35" i="5"/>
  <c r="BF46" i="5"/>
  <c r="BF57" i="5"/>
  <c r="BF31" i="5"/>
  <c r="BF29" i="5"/>
  <c r="BF53" i="5"/>
  <c r="BF27" i="5"/>
  <c r="BF67" i="5"/>
  <c r="BF49" i="5"/>
  <c r="BF37" i="5"/>
  <c r="BF48" i="5"/>
  <c r="BF45" i="5"/>
  <c r="BF54" i="5"/>
  <c r="BF58" i="5"/>
  <c r="BF41" i="5"/>
  <c r="BF63" i="5"/>
  <c r="BF52" i="5"/>
  <c r="BF36" i="5"/>
  <c r="BF59" i="5"/>
  <c r="BF50" i="5"/>
  <c r="BF32" i="5"/>
  <c r="BF47" i="5"/>
  <c r="BF28" i="5"/>
  <c r="BF51" i="5"/>
  <c r="BF42" i="5"/>
  <c r="BF65" i="5"/>
  <c r="BF38" i="5"/>
  <c r="BF60" i="5"/>
  <c r="BF43" i="5"/>
  <c r="BF33" i="5"/>
  <c r="BF56" i="5"/>
  <c r="BF30" i="5"/>
  <c r="AE86" i="4"/>
  <c r="AD86" i="4"/>
  <c r="G70" i="10"/>
  <c r="I70" i="10" s="1"/>
  <c r="BF25" i="5"/>
  <c r="BF68" i="5"/>
  <c r="BF20" i="5"/>
  <c r="BF12" i="5"/>
  <c r="BF7" i="5"/>
  <c r="BF15" i="5"/>
  <c r="BF17" i="5"/>
  <c r="BF86" i="5"/>
  <c r="BF21" i="5"/>
  <c r="BF13" i="5"/>
  <c r="BF9" i="5"/>
  <c r="BF23" i="5"/>
  <c r="BF14" i="5"/>
  <c r="BF11" i="5"/>
  <c r="BF74" i="5"/>
  <c r="BF18" i="5"/>
  <c r="BF80" i="5"/>
  <c r="BF70" i="5"/>
  <c r="BF75" i="5"/>
  <c r="BF10" i="5"/>
  <c r="BF72" i="5"/>
  <c r="BF79" i="5"/>
  <c r="BF85" i="5"/>
  <c r="BF16" i="5"/>
  <c r="BF69" i="5"/>
  <c r="BF77" i="5"/>
  <c r="BF81" i="5"/>
  <c r="BF22" i="5"/>
  <c r="BF73" i="5"/>
  <c r="BF71" i="5"/>
  <c r="BF84" i="5"/>
  <c r="BF82" i="5"/>
  <c r="BF24" i="5"/>
  <c r="BF83" i="5"/>
  <c r="BF76" i="5"/>
  <c r="BF8" i="5"/>
  <c r="BF78" i="5"/>
  <c r="BF19" i="5"/>
  <c r="G11" i="10"/>
  <c r="I11" i="10" s="1"/>
  <c r="N11" i="10" s="1"/>
  <c r="R11" i="10" s="1"/>
  <c r="P11" i="10" s="1"/>
  <c r="G9" i="10"/>
  <c r="I9" i="10" s="1"/>
  <c r="N9" i="10" s="1"/>
  <c r="R9" i="10" s="1"/>
  <c r="P9" i="10" s="1"/>
  <c r="G13" i="10"/>
  <c r="I13" i="10" s="1"/>
  <c r="K13" i="10" s="1"/>
  <c r="G19" i="10"/>
  <c r="I19" i="10" s="1"/>
  <c r="N19" i="10" s="1"/>
  <c r="R19" i="10" s="1"/>
  <c r="P19" i="10" s="1"/>
  <c r="G31" i="10"/>
  <c r="I31" i="10" s="1"/>
  <c r="N31" i="10" s="1"/>
  <c r="R31" i="10" s="1"/>
  <c r="P31" i="10" s="1"/>
  <c r="G47" i="10"/>
  <c r="I47" i="10" s="1"/>
  <c r="N47" i="10" s="1"/>
  <c r="R47" i="10" s="1"/>
  <c r="P47" i="10" s="1"/>
  <c r="G51" i="10"/>
  <c r="I51" i="10" s="1"/>
  <c r="N51" i="10" s="1"/>
  <c r="R51" i="10" s="1"/>
  <c r="P51" i="10" s="1"/>
  <c r="G53" i="10"/>
  <c r="I53" i="10" s="1"/>
  <c r="K53" i="10" s="1"/>
  <c r="G55" i="10"/>
  <c r="I55" i="10" s="1"/>
  <c r="K55" i="10" s="1"/>
  <c r="G59" i="10"/>
  <c r="I59" i="10" s="1"/>
  <c r="N59" i="10" s="1"/>
  <c r="R59" i="10" s="1"/>
  <c r="P59" i="10" s="1"/>
  <c r="G29" i="10"/>
  <c r="I29" i="10" s="1"/>
  <c r="K29" i="10" s="1"/>
  <c r="G35" i="10"/>
  <c r="I35" i="10" s="1"/>
  <c r="N35" i="10" s="1"/>
  <c r="R35" i="10" s="1"/>
  <c r="P35" i="10" s="1"/>
  <c r="G49" i="10"/>
  <c r="I49" i="10" s="1"/>
  <c r="K49" i="10" s="1"/>
  <c r="G12" i="10"/>
  <c r="I12" i="10" s="1"/>
  <c r="N12" i="10" s="1"/>
  <c r="R12" i="10" s="1"/>
  <c r="P12" i="10" s="1"/>
  <c r="G78" i="10"/>
  <c r="I78" i="10" s="1"/>
  <c r="N78" i="10" s="1"/>
  <c r="R78" i="10" s="1"/>
  <c r="P78" i="10" s="1"/>
  <c r="G52" i="10"/>
  <c r="I52" i="10" s="1"/>
  <c r="K52" i="10" s="1"/>
  <c r="G54" i="10"/>
  <c r="I54" i="10" s="1"/>
  <c r="N54" i="10" s="1"/>
  <c r="R54" i="10" s="1"/>
  <c r="P54" i="10" s="1"/>
  <c r="G68" i="10"/>
  <c r="I68" i="10" s="1"/>
  <c r="K68" i="10" s="1"/>
  <c r="G83" i="10"/>
  <c r="I83" i="10" s="1"/>
  <c r="N83" i="10" s="1"/>
  <c r="R83" i="10" s="1"/>
  <c r="P83" i="10" s="1"/>
  <c r="G14" i="10"/>
  <c r="I14" i="10" s="1"/>
  <c r="N14" i="10" s="1"/>
  <c r="R14" i="10" s="1"/>
  <c r="P14" i="10" s="1"/>
  <c r="G22" i="10"/>
  <c r="I22" i="10" s="1"/>
  <c r="K22" i="10" s="1"/>
  <c r="G24" i="10"/>
  <c r="I24" i="10" s="1"/>
  <c r="K24" i="10" s="1"/>
  <c r="G26" i="10"/>
  <c r="I26" i="10" s="1"/>
  <c r="N26" i="10" s="1"/>
  <c r="R26" i="10" s="1"/>
  <c r="P26" i="10" s="1"/>
  <c r="G38" i="10"/>
  <c r="I38" i="10" s="1"/>
  <c r="N38" i="10" s="1"/>
  <c r="R38" i="10" s="1"/>
  <c r="P38" i="10" s="1"/>
  <c r="G40" i="10"/>
  <c r="I40" i="10" s="1"/>
  <c r="K40" i="10" s="1"/>
  <c r="G42" i="10"/>
  <c r="I42" i="10" s="1"/>
  <c r="K42" i="10" s="1"/>
  <c r="G46" i="10"/>
  <c r="I46" i="10" s="1"/>
  <c r="N46" i="10" s="1"/>
  <c r="R46" i="10" s="1"/>
  <c r="P46" i="10" s="1"/>
  <c r="G62" i="10"/>
  <c r="I62" i="10" s="1"/>
  <c r="N62" i="10" s="1"/>
  <c r="R62" i="10" s="1"/>
  <c r="P62" i="10" s="1"/>
  <c r="G64" i="10"/>
  <c r="I64" i="10" s="1"/>
  <c r="N64" i="10" s="1"/>
  <c r="R64" i="10" s="1"/>
  <c r="P64" i="10" s="1"/>
  <c r="G66" i="10"/>
  <c r="I66" i="10" s="1"/>
  <c r="K66" i="10" s="1"/>
  <c r="G80" i="10"/>
  <c r="I80" i="10" s="1"/>
  <c r="N80" i="10" s="1"/>
  <c r="R80" i="10" s="1"/>
  <c r="P80" i="10" s="1"/>
  <c r="G82" i="10"/>
  <c r="I82" i="10" s="1"/>
  <c r="N82" i="10" s="1"/>
  <c r="R82" i="10" s="1"/>
  <c r="P82" i="10" s="1"/>
  <c r="G69" i="10"/>
  <c r="I69" i="10" s="1"/>
  <c r="K69" i="10" s="1"/>
  <c r="G30" i="10"/>
  <c r="I30" i="10" s="1"/>
  <c r="K30" i="10" s="1"/>
  <c r="G27" i="10"/>
  <c r="I27" i="10" s="1"/>
  <c r="N27" i="10" s="1"/>
  <c r="R27" i="10" s="1"/>
  <c r="P27" i="10" s="1"/>
  <c r="G71" i="10"/>
  <c r="I71" i="10" s="1"/>
  <c r="N71" i="10" s="1"/>
  <c r="R71" i="10" s="1"/>
  <c r="P71" i="10" s="1"/>
  <c r="G75" i="10"/>
  <c r="I75" i="10" s="1"/>
  <c r="N75" i="10" s="1"/>
  <c r="R75" i="10" s="1"/>
  <c r="P75" i="10" s="1"/>
  <c r="G77" i="10"/>
  <c r="I77" i="10" s="1"/>
  <c r="K77" i="10" s="1"/>
  <c r="G65" i="10"/>
  <c r="I65" i="10" s="1"/>
  <c r="N65" i="10" s="1"/>
  <c r="R65" i="10" s="1"/>
  <c r="P65" i="10" s="1"/>
  <c r="G67" i="10"/>
  <c r="I67" i="10" s="1"/>
  <c r="N67" i="10" s="1"/>
  <c r="R67" i="10" s="1"/>
  <c r="P67" i="10" s="1"/>
  <c r="G16" i="10"/>
  <c r="I16" i="10" s="1"/>
  <c r="N16" i="10" s="1"/>
  <c r="R16" i="10" s="1"/>
  <c r="P16" i="10" s="1"/>
  <c r="G18" i="10"/>
  <c r="I18" i="10" s="1"/>
  <c r="K18" i="10" s="1"/>
  <c r="G43" i="10"/>
  <c r="I43" i="10" s="1"/>
  <c r="N43" i="10" s="1"/>
  <c r="R43" i="10" s="1"/>
  <c r="P43" i="10" s="1"/>
  <c r="G81" i="10"/>
  <c r="I81" i="10" s="1"/>
  <c r="K81" i="10" s="1"/>
  <c r="D86" i="10"/>
  <c r="G60" i="10"/>
  <c r="I60" i="10" s="1"/>
  <c r="N60" i="10" s="1"/>
  <c r="R60" i="10" s="1"/>
  <c r="P60" i="10" s="1"/>
  <c r="G73" i="10"/>
  <c r="I73" i="10" s="1"/>
  <c r="N73" i="10" s="1"/>
  <c r="R73" i="10" s="1"/>
  <c r="P73" i="10" s="1"/>
  <c r="G84" i="10"/>
  <c r="I84" i="10" s="1"/>
  <c r="N84" i="10" s="1"/>
  <c r="R84" i="10" s="1"/>
  <c r="P84" i="10" s="1"/>
  <c r="F86" i="10"/>
  <c r="G15" i="10"/>
  <c r="I15" i="10" s="1"/>
  <c r="N15" i="10" s="1"/>
  <c r="R15" i="10" s="1"/>
  <c r="P15" i="10" s="1"/>
  <c r="G37" i="10"/>
  <c r="I37" i="10" s="1"/>
  <c r="K37" i="10" s="1"/>
  <c r="G48" i="10"/>
  <c r="I48" i="10" s="1"/>
  <c r="K48" i="10" s="1"/>
  <c r="G50" i="10"/>
  <c r="I50" i="10" s="1"/>
  <c r="K50" i="10" s="1"/>
  <c r="G79" i="10"/>
  <c r="I79" i="10" s="1"/>
  <c r="K79" i="10" s="1"/>
  <c r="G76" i="10"/>
  <c r="I76" i="10" s="1"/>
  <c r="K76" i="10" s="1"/>
  <c r="E86" i="10"/>
  <c r="G8" i="10"/>
  <c r="I8" i="10" s="1"/>
  <c r="K8" i="10" s="1"/>
  <c r="G10" i="10"/>
  <c r="I10" i="10" s="1"/>
  <c r="K10" i="10" s="1"/>
  <c r="G39" i="10"/>
  <c r="I39" i="10" s="1"/>
  <c r="K39" i="10" s="1"/>
  <c r="G41" i="10"/>
  <c r="I41" i="10" s="1"/>
  <c r="N41" i="10" s="1"/>
  <c r="R41" i="10" s="1"/>
  <c r="P41" i="10" s="1"/>
  <c r="G44" i="10"/>
  <c r="I44" i="10" s="1"/>
  <c r="N44" i="10" s="1"/>
  <c r="R44" i="10" s="1"/>
  <c r="P44" i="10" s="1"/>
  <c r="G57" i="10"/>
  <c r="I57" i="10" s="1"/>
  <c r="N57" i="10" s="1"/>
  <c r="R57" i="10" s="1"/>
  <c r="P57" i="10" s="1"/>
  <c r="G61" i="10"/>
  <c r="I61" i="10" s="1"/>
  <c r="N61" i="10" s="1"/>
  <c r="R61" i="10" s="1"/>
  <c r="P61" i="10" s="1"/>
  <c r="G72" i="10"/>
  <c r="I72" i="10" s="1"/>
  <c r="K72" i="10" s="1"/>
  <c r="G74" i="10"/>
  <c r="I74" i="10" s="1"/>
  <c r="K74" i="10" s="1"/>
  <c r="C86" i="10"/>
  <c r="G20" i="10"/>
  <c r="I20" i="10" s="1"/>
  <c r="N20" i="10" s="1"/>
  <c r="R20" i="10" s="1"/>
  <c r="P20" i="10" s="1"/>
  <c r="G33" i="10"/>
  <c r="I33" i="10" s="1"/>
  <c r="K33" i="10" s="1"/>
  <c r="G17" i="10"/>
  <c r="I17" i="10" s="1"/>
  <c r="K17" i="10" s="1"/>
  <c r="G21" i="10"/>
  <c r="I21" i="10" s="1"/>
  <c r="K21" i="10" s="1"/>
  <c r="G32" i="10"/>
  <c r="I32" i="10" s="1"/>
  <c r="K32" i="10" s="1"/>
  <c r="G34" i="10"/>
  <c r="I34" i="10" s="1"/>
  <c r="K34" i="10" s="1"/>
  <c r="G63" i="10"/>
  <c r="I63" i="10" s="1"/>
  <c r="K63" i="10" s="1"/>
  <c r="G85" i="10"/>
  <c r="I85" i="10" s="1"/>
  <c r="K85" i="10" s="1"/>
  <c r="G36" i="10"/>
  <c r="I36" i="10" s="1"/>
  <c r="N36" i="10" s="1"/>
  <c r="R36" i="10" s="1"/>
  <c r="P36" i="10" s="1"/>
  <c r="G23" i="10"/>
  <c r="I23" i="10" s="1"/>
  <c r="N23" i="10" s="1"/>
  <c r="R23" i="10" s="1"/>
  <c r="P23" i="10" s="1"/>
  <c r="G25" i="10"/>
  <c r="I25" i="10" s="1"/>
  <c r="N25" i="10" s="1"/>
  <c r="R25" i="10" s="1"/>
  <c r="P25" i="10" s="1"/>
  <c r="G28" i="10"/>
  <c r="I28" i="10" s="1"/>
  <c r="N28" i="10" s="1"/>
  <c r="R28" i="10" s="1"/>
  <c r="P28" i="10" s="1"/>
  <c r="G45" i="10"/>
  <c r="I45" i="10" s="1"/>
  <c r="K45" i="10" s="1"/>
  <c r="G56" i="10"/>
  <c r="I56" i="10" s="1"/>
  <c r="K56" i="10" s="1"/>
  <c r="G58" i="10"/>
  <c r="I58" i="10" s="1"/>
  <c r="K58" i="10" s="1"/>
  <c r="AB86" i="4"/>
  <c r="AI86" i="4"/>
  <c r="AC86" i="4"/>
  <c r="AG86" i="4"/>
  <c r="AH86" i="4"/>
  <c r="N77" i="10"/>
  <c r="R77" i="10" s="1"/>
  <c r="P77" i="10" s="1"/>
  <c r="K26" i="10"/>
  <c r="N70" i="10"/>
  <c r="R70" i="10" s="1"/>
  <c r="P70" i="10" s="1"/>
  <c r="K70" i="10"/>
  <c r="K80" i="10"/>
  <c r="K19" i="10"/>
  <c r="K51" i="10"/>
  <c r="G7" i="10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6" i="4"/>
  <c r="E8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6" i="4"/>
  <c r="R80" i="4"/>
  <c r="R78" i="4"/>
  <c r="C84" i="2"/>
  <c r="D84" i="2"/>
  <c r="K85" i="5"/>
  <c r="H85" i="5"/>
  <c r="G85" i="5"/>
  <c r="I130" i="2"/>
  <c r="H130" i="2"/>
  <c r="G130" i="2"/>
  <c r="F130" i="2"/>
  <c r="I128" i="2"/>
  <c r="H128" i="2"/>
  <c r="G128" i="2"/>
  <c r="F128" i="2"/>
  <c r="E84" i="2" l="1"/>
  <c r="F84" i="2" s="1"/>
  <c r="G84" i="2" s="1"/>
  <c r="H84" i="2" s="1"/>
  <c r="I84" i="2" s="1"/>
  <c r="K14" i="10"/>
  <c r="K54" i="10"/>
  <c r="K84" i="10"/>
  <c r="N55" i="10"/>
  <c r="R55" i="10" s="1"/>
  <c r="P55" i="10" s="1"/>
  <c r="N58" i="10"/>
  <c r="R58" i="10" s="1"/>
  <c r="P58" i="10" s="1"/>
  <c r="N69" i="10"/>
  <c r="R69" i="10" s="1"/>
  <c r="P69" i="10" s="1"/>
  <c r="K59" i="10"/>
  <c r="N13" i="10"/>
  <c r="R13" i="10" s="1"/>
  <c r="P13" i="10" s="1"/>
  <c r="N30" i="10"/>
  <c r="R30" i="10" s="1"/>
  <c r="P30" i="10" s="1"/>
  <c r="K16" i="10"/>
  <c r="K9" i="10"/>
  <c r="K11" i="10"/>
  <c r="N68" i="10"/>
  <c r="R68" i="10" s="1"/>
  <c r="P68" i="10" s="1"/>
  <c r="N66" i="10"/>
  <c r="R66" i="10" s="1"/>
  <c r="P66" i="10" s="1"/>
  <c r="K47" i="10"/>
  <c r="K60" i="10"/>
  <c r="K12" i="10"/>
  <c r="N24" i="10"/>
  <c r="R24" i="10" s="1"/>
  <c r="P24" i="10" s="1"/>
  <c r="K35" i="10"/>
  <c r="N29" i="10"/>
  <c r="R29" i="10" s="1"/>
  <c r="P29" i="10" s="1"/>
  <c r="N33" i="10"/>
  <c r="R33" i="10" s="1"/>
  <c r="P33" i="10" s="1"/>
  <c r="N81" i="10"/>
  <c r="R81" i="10" s="1"/>
  <c r="P81" i="10" s="1"/>
  <c r="K62" i="10"/>
  <c r="N49" i="10"/>
  <c r="R49" i="10" s="1"/>
  <c r="P49" i="10" s="1"/>
  <c r="K82" i="10"/>
  <c r="N48" i="10"/>
  <c r="R48" i="10" s="1"/>
  <c r="P48" i="10" s="1"/>
  <c r="K71" i="10"/>
  <c r="K31" i="10"/>
  <c r="N22" i="10"/>
  <c r="R22" i="10" s="1"/>
  <c r="P22" i="10" s="1"/>
  <c r="K41" i="10"/>
  <c r="N53" i="10"/>
  <c r="R53" i="10" s="1"/>
  <c r="P53" i="10" s="1"/>
  <c r="N52" i="10"/>
  <c r="R52" i="10" s="1"/>
  <c r="P52" i="10" s="1"/>
  <c r="K23" i="10"/>
  <c r="N17" i="10"/>
  <c r="R17" i="10" s="1"/>
  <c r="P17" i="10" s="1"/>
  <c r="N37" i="10"/>
  <c r="R37" i="10" s="1"/>
  <c r="P37" i="10" s="1"/>
  <c r="K75" i="10"/>
  <c r="N74" i="10"/>
  <c r="R74" i="10" s="1"/>
  <c r="P74" i="10" s="1"/>
  <c r="N32" i="10"/>
  <c r="R32" i="10" s="1"/>
  <c r="P32" i="10" s="1"/>
  <c r="K78" i="10"/>
  <c r="N56" i="10"/>
  <c r="R56" i="10" s="1"/>
  <c r="P56" i="10" s="1"/>
  <c r="K73" i="10"/>
  <c r="K64" i="10"/>
  <c r="K57" i="10"/>
  <c r="K61" i="10"/>
  <c r="K83" i="10"/>
  <c r="N76" i="10"/>
  <c r="R76" i="10" s="1"/>
  <c r="P76" i="10" s="1"/>
  <c r="K67" i="10"/>
  <c r="K38" i="10"/>
  <c r="N72" i="10"/>
  <c r="R72" i="10" s="1"/>
  <c r="P72" i="10" s="1"/>
  <c r="K36" i="10"/>
  <c r="K20" i="10"/>
  <c r="K27" i="10"/>
  <c r="K46" i="10"/>
  <c r="N45" i="10"/>
  <c r="R45" i="10" s="1"/>
  <c r="P45" i="10" s="1"/>
  <c r="K43" i="10"/>
  <c r="N39" i="10"/>
  <c r="R39" i="10" s="1"/>
  <c r="P39" i="10" s="1"/>
  <c r="K65" i="10"/>
  <c r="N18" i="10"/>
  <c r="R18" i="10" s="1"/>
  <c r="P18" i="10" s="1"/>
  <c r="N40" i="10"/>
  <c r="R40" i="10" s="1"/>
  <c r="P40" i="10" s="1"/>
  <c r="N63" i="10"/>
  <c r="R63" i="10" s="1"/>
  <c r="P63" i="10" s="1"/>
  <c r="N42" i="10"/>
  <c r="R42" i="10" s="1"/>
  <c r="P42" i="10" s="1"/>
  <c r="N10" i="10"/>
  <c r="R10" i="10" s="1"/>
  <c r="P10" i="10" s="1"/>
  <c r="N34" i="10"/>
  <c r="R34" i="10" s="1"/>
  <c r="P34" i="10" s="1"/>
  <c r="N85" i="10"/>
  <c r="R85" i="10" s="1"/>
  <c r="P85" i="10" s="1"/>
  <c r="N50" i="10"/>
  <c r="R50" i="10" s="1"/>
  <c r="P50" i="10" s="1"/>
  <c r="K44" i="10"/>
  <c r="N8" i="10"/>
  <c r="R8" i="10" s="1"/>
  <c r="P8" i="10" s="1"/>
  <c r="K15" i="10"/>
  <c r="K28" i="10"/>
  <c r="N79" i="10"/>
  <c r="R79" i="10" s="1"/>
  <c r="P79" i="10" s="1"/>
  <c r="K25" i="10"/>
  <c r="N21" i="10"/>
  <c r="R21" i="10" s="1"/>
  <c r="P21" i="10" s="1"/>
  <c r="I7" i="10"/>
  <c r="G86" i="10"/>
  <c r="I86" i="10" s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N86" i="10" l="1"/>
  <c r="R86" i="10" s="1"/>
  <c r="P86" i="10" s="1"/>
  <c r="K86" i="10"/>
  <c r="N7" i="10"/>
  <c r="R7" i="10" s="1"/>
  <c r="P7" i="10" s="1"/>
  <c r="K7" i="10"/>
  <c r="K7" i="5"/>
  <c r="D86" i="5"/>
  <c r="E8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H7" i="5"/>
  <c r="G7" i="5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9" i="4"/>
  <c r="R81" i="4"/>
  <c r="R82" i="4"/>
  <c r="R83" i="4"/>
  <c r="R84" i="4"/>
  <c r="R6" i="4"/>
  <c r="N62" i="9"/>
  <c r="N14" i="9"/>
  <c r="N9" i="9"/>
  <c r="N10" i="9"/>
  <c r="N11" i="9"/>
  <c r="N12" i="9"/>
  <c r="N13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" i="9"/>
  <c r="M14" i="9"/>
  <c r="M62" i="9"/>
  <c r="M9" i="9"/>
  <c r="M10" i="9"/>
  <c r="M11" i="9"/>
  <c r="M12" i="9"/>
  <c r="M13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" i="9"/>
  <c r="D87" i="9"/>
  <c r="E87" i="9"/>
  <c r="M87" i="9" s="1"/>
  <c r="F87" i="9"/>
  <c r="G87" i="9"/>
  <c r="F86" i="4"/>
  <c r="G86" i="4"/>
  <c r="D85" i="2"/>
  <c r="C85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L7" i="10" l="1"/>
  <c r="L86" i="10"/>
  <c r="L60" i="10"/>
  <c r="L18" i="10"/>
  <c r="L50" i="10"/>
  <c r="L70" i="10"/>
  <c r="L8" i="10"/>
  <c r="L62" i="10"/>
  <c r="L19" i="10"/>
  <c r="L11" i="10"/>
  <c r="L73" i="10"/>
  <c r="L63" i="10"/>
  <c r="L21" i="10"/>
  <c r="L78" i="10"/>
  <c r="L84" i="10"/>
  <c r="L45" i="10"/>
  <c r="L28" i="10"/>
  <c r="L31" i="10"/>
  <c r="L48" i="10"/>
  <c r="L42" i="10"/>
  <c r="L53" i="10"/>
  <c r="L9" i="10"/>
  <c r="L82" i="10"/>
  <c r="L52" i="10"/>
  <c r="L54" i="10"/>
  <c r="L49" i="10"/>
  <c r="L80" i="10"/>
  <c r="L41" i="10"/>
  <c r="L47" i="10"/>
  <c r="L69" i="10"/>
  <c r="L67" i="10"/>
  <c r="L17" i="10"/>
  <c r="L65" i="10"/>
  <c r="L25" i="10"/>
  <c r="L56" i="10"/>
  <c r="L61" i="10"/>
  <c r="L74" i="10"/>
  <c r="L27" i="10"/>
  <c r="L22" i="10"/>
  <c r="L30" i="10"/>
  <c r="L34" i="10"/>
  <c r="L75" i="10"/>
  <c r="L16" i="10"/>
  <c r="L43" i="10"/>
  <c r="L44" i="10"/>
  <c r="L12" i="10"/>
  <c r="L79" i="10"/>
  <c r="L64" i="10"/>
  <c r="L20" i="10"/>
  <c r="L24" i="10"/>
  <c r="L14" i="10"/>
  <c r="L71" i="10"/>
  <c r="L23" i="10"/>
  <c r="L35" i="10"/>
  <c r="L32" i="10"/>
  <c r="L55" i="10"/>
  <c r="L40" i="10"/>
  <c r="L15" i="10"/>
  <c r="L33" i="10"/>
  <c r="L59" i="10"/>
  <c r="L72" i="10"/>
  <c r="L39" i="10"/>
  <c r="L10" i="10"/>
  <c r="L26" i="10"/>
  <c r="L76" i="10"/>
  <c r="L81" i="10"/>
  <c r="L58" i="10"/>
  <c r="L36" i="10"/>
  <c r="L68" i="10"/>
  <c r="L77" i="10"/>
  <c r="L46" i="10"/>
  <c r="L66" i="10"/>
  <c r="L37" i="10"/>
  <c r="L85" i="10"/>
  <c r="L51" i="10"/>
  <c r="L38" i="10"/>
  <c r="L13" i="10"/>
  <c r="L29" i="10"/>
  <c r="L57" i="10"/>
  <c r="L83" i="10"/>
  <c r="I86" i="4"/>
  <c r="Q86" i="4"/>
  <c r="J86" i="4"/>
  <c r="E9" i="2"/>
  <c r="F9" i="2" s="1"/>
  <c r="G9" i="2" s="1"/>
  <c r="H9" i="2" s="1"/>
  <c r="I9" i="2" s="1"/>
  <c r="E13" i="2"/>
  <c r="F13" i="2" s="1"/>
  <c r="G13" i="2" s="1"/>
  <c r="H13" i="2" s="1"/>
  <c r="I13" i="2" s="1"/>
  <c r="E17" i="2"/>
  <c r="F17" i="2" s="1"/>
  <c r="G17" i="2" s="1"/>
  <c r="H17" i="2" s="1"/>
  <c r="I17" i="2" s="1"/>
  <c r="E21" i="2"/>
  <c r="F21" i="2" s="1"/>
  <c r="G21" i="2" s="1"/>
  <c r="H21" i="2" s="1"/>
  <c r="I21" i="2" s="1"/>
  <c r="E25" i="2"/>
  <c r="F25" i="2" s="1"/>
  <c r="G25" i="2" s="1"/>
  <c r="H25" i="2" s="1"/>
  <c r="I25" i="2" s="1"/>
  <c r="E29" i="2"/>
  <c r="F29" i="2" s="1"/>
  <c r="G29" i="2" s="1"/>
  <c r="H29" i="2" s="1"/>
  <c r="I29" i="2" s="1"/>
  <c r="E33" i="2"/>
  <c r="F33" i="2" s="1"/>
  <c r="G33" i="2" s="1"/>
  <c r="H33" i="2" s="1"/>
  <c r="I33" i="2" s="1"/>
  <c r="E37" i="2"/>
  <c r="F37" i="2" s="1"/>
  <c r="G37" i="2" s="1"/>
  <c r="H37" i="2" s="1"/>
  <c r="I37" i="2" s="1"/>
  <c r="E41" i="2"/>
  <c r="F41" i="2" s="1"/>
  <c r="G41" i="2" s="1"/>
  <c r="H41" i="2" s="1"/>
  <c r="I41" i="2" s="1"/>
  <c r="E45" i="2"/>
  <c r="F45" i="2" s="1"/>
  <c r="G45" i="2" s="1"/>
  <c r="H45" i="2" s="1"/>
  <c r="I45" i="2" s="1"/>
  <c r="E49" i="2"/>
  <c r="F49" i="2" s="1"/>
  <c r="G49" i="2" s="1"/>
  <c r="H49" i="2" s="1"/>
  <c r="I49" i="2" s="1"/>
  <c r="E53" i="2"/>
  <c r="F53" i="2" s="1"/>
  <c r="G53" i="2" s="1"/>
  <c r="H53" i="2" s="1"/>
  <c r="I53" i="2" s="1"/>
  <c r="E57" i="2"/>
  <c r="F57" i="2" s="1"/>
  <c r="G57" i="2" s="1"/>
  <c r="H57" i="2" s="1"/>
  <c r="I57" i="2" s="1"/>
  <c r="E61" i="2"/>
  <c r="F61" i="2" s="1"/>
  <c r="G61" i="2" s="1"/>
  <c r="H61" i="2" s="1"/>
  <c r="I61" i="2" s="1"/>
  <c r="E65" i="2"/>
  <c r="F65" i="2" s="1"/>
  <c r="G65" i="2" s="1"/>
  <c r="H65" i="2" s="1"/>
  <c r="I65" i="2" s="1"/>
  <c r="E69" i="2"/>
  <c r="F69" i="2" s="1"/>
  <c r="G69" i="2" s="1"/>
  <c r="H69" i="2" s="1"/>
  <c r="I69" i="2" s="1"/>
  <c r="E73" i="2"/>
  <c r="F73" i="2" s="1"/>
  <c r="G73" i="2" s="1"/>
  <c r="H73" i="2" s="1"/>
  <c r="I73" i="2" s="1"/>
  <c r="E77" i="2"/>
  <c r="F77" i="2" s="1"/>
  <c r="G77" i="2" s="1"/>
  <c r="H77" i="2" s="1"/>
  <c r="I77" i="2" s="1"/>
  <c r="K86" i="5"/>
  <c r="E10" i="2"/>
  <c r="F10" i="2" s="1"/>
  <c r="G10" i="2" s="1"/>
  <c r="H10" i="2" s="1"/>
  <c r="I10" i="2" s="1"/>
  <c r="E14" i="2"/>
  <c r="F14" i="2" s="1"/>
  <c r="G14" i="2" s="1"/>
  <c r="H14" i="2" s="1"/>
  <c r="I14" i="2" s="1"/>
  <c r="E18" i="2"/>
  <c r="F18" i="2" s="1"/>
  <c r="G18" i="2" s="1"/>
  <c r="H18" i="2" s="1"/>
  <c r="I18" i="2" s="1"/>
  <c r="E22" i="2"/>
  <c r="F22" i="2" s="1"/>
  <c r="G22" i="2" s="1"/>
  <c r="H22" i="2" s="1"/>
  <c r="I22" i="2" s="1"/>
  <c r="E26" i="2"/>
  <c r="F26" i="2" s="1"/>
  <c r="G26" i="2" s="1"/>
  <c r="H26" i="2" s="1"/>
  <c r="I26" i="2" s="1"/>
  <c r="E30" i="2"/>
  <c r="F30" i="2" s="1"/>
  <c r="G30" i="2" s="1"/>
  <c r="H30" i="2" s="1"/>
  <c r="I30" i="2" s="1"/>
  <c r="E34" i="2"/>
  <c r="F34" i="2" s="1"/>
  <c r="G34" i="2" s="1"/>
  <c r="H34" i="2" s="1"/>
  <c r="I34" i="2" s="1"/>
  <c r="E38" i="2"/>
  <c r="F38" i="2" s="1"/>
  <c r="G38" i="2" s="1"/>
  <c r="H38" i="2" s="1"/>
  <c r="I38" i="2" s="1"/>
  <c r="E42" i="2"/>
  <c r="F42" i="2" s="1"/>
  <c r="G42" i="2" s="1"/>
  <c r="H42" i="2" s="1"/>
  <c r="I42" i="2" s="1"/>
  <c r="E46" i="2"/>
  <c r="F46" i="2" s="1"/>
  <c r="G46" i="2" s="1"/>
  <c r="H46" i="2" s="1"/>
  <c r="I46" i="2" s="1"/>
  <c r="E50" i="2"/>
  <c r="F50" i="2" s="1"/>
  <c r="G50" i="2" s="1"/>
  <c r="H50" i="2" s="1"/>
  <c r="I50" i="2" s="1"/>
  <c r="E54" i="2"/>
  <c r="F54" i="2" s="1"/>
  <c r="G54" i="2" s="1"/>
  <c r="H54" i="2" s="1"/>
  <c r="I54" i="2" s="1"/>
  <c r="E58" i="2"/>
  <c r="F58" i="2" s="1"/>
  <c r="G58" i="2" s="1"/>
  <c r="H58" i="2" s="1"/>
  <c r="I58" i="2" s="1"/>
  <c r="E62" i="2"/>
  <c r="F62" i="2" s="1"/>
  <c r="G62" i="2" s="1"/>
  <c r="H62" i="2" s="1"/>
  <c r="I62" i="2" s="1"/>
  <c r="E66" i="2"/>
  <c r="F66" i="2" s="1"/>
  <c r="G66" i="2" s="1"/>
  <c r="H66" i="2" s="1"/>
  <c r="I66" i="2" s="1"/>
  <c r="E70" i="2"/>
  <c r="F70" i="2" s="1"/>
  <c r="G70" i="2" s="1"/>
  <c r="H70" i="2" s="1"/>
  <c r="I70" i="2" s="1"/>
  <c r="E74" i="2"/>
  <c r="F74" i="2" s="1"/>
  <c r="G74" i="2" s="1"/>
  <c r="H74" i="2" s="1"/>
  <c r="I74" i="2" s="1"/>
  <c r="E78" i="2"/>
  <c r="F78" i="2" s="1"/>
  <c r="G78" i="2" s="1"/>
  <c r="H78" i="2" s="1"/>
  <c r="I78" i="2" s="1"/>
  <c r="E81" i="2"/>
  <c r="F81" i="2" s="1"/>
  <c r="G81" i="2" s="1"/>
  <c r="H81" i="2" s="1"/>
  <c r="I81" i="2" s="1"/>
  <c r="E11" i="2"/>
  <c r="F11" i="2" s="1"/>
  <c r="G11" i="2" s="1"/>
  <c r="H11" i="2" s="1"/>
  <c r="I11" i="2" s="1"/>
  <c r="E15" i="2"/>
  <c r="F15" i="2" s="1"/>
  <c r="G15" i="2" s="1"/>
  <c r="H15" i="2" s="1"/>
  <c r="I15" i="2" s="1"/>
  <c r="E19" i="2"/>
  <c r="F19" i="2" s="1"/>
  <c r="G19" i="2" s="1"/>
  <c r="H19" i="2" s="1"/>
  <c r="I19" i="2" s="1"/>
  <c r="E23" i="2"/>
  <c r="F23" i="2" s="1"/>
  <c r="G23" i="2" s="1"/>
  <c r="H23" i="2" s="1"/>
  <c r="I23" i="2" s="1"/>
  <c r="E27" i="2"/>
  <c r="F27" i="2" s="1"/>
  <c r="G27" i="2" s="1"/>
  <c r="H27" i="2" s="1"/>
  <c r="I27" i="2" s="1"/>
  <c r="E31" i="2"/>
  <c r="F31" i="2" s="1"/>
  <c r="G31" i="2" s="1"/>
  <c r="H31" i="2" s="1"/>
  <c r="I31" i="2" s="1"/>
  <c r="E35" i="2"/>
  <c r="F35" i="2" s="1"/>
  <c r="G35" i="2" s="1"/>
  <c r="H35" i="2" s="1"/>
  <c r="I35" i="2" s="1"/>
  <c r="E39" i="2"/>
  <c r="F39" i="2" s="1"/>
  <c r="G39" i="2" s="1"/>
  <c r="H39" i="2" s="1"/>
  <c r="I39" i="2" s="1"/>
  <c r="E43" i="2"/>
  <c r="F43" i="2" s="1"/>
  <c r="G43" i="2" s="1"/>
  <c r="H43" i="2" s="1"/>
  <c r="I43" i="2" s="1"/>
  <c r="E47" i="2"/>
  <c r="F47" i="2" s="1"/>
  <c r="G47" i="2" s="1"/>
  <c r="H47" i="2" s="1"/>
  <c r="I47" i="2" s="1"/>
  <c r="E51" i="2"/>
  <c r="F51" i="2" s="1"/>
  <c r="G51" i="2" s="1"/>
  <c r="H51" i="2" s="1"/>
  <c r="I51" i="2" s="1"/>
  <c r="E55" i="2"/>
  <c r="F55" i="2" s="1"/>
  <c r="G55" i="2" s="1"/>
  <c r="H55" i="2" s="1"/>
  <c r="I55" i="2" s="1"/>
  <c r="E59" i="2"/>
  <c r="F59" i="2" s="1"/>
  <c r="G59" i="2" s="1"/>
  <c r="H59" i="2" s="1"/>
  <c r="I59" i="2" s="1"/>
  <c r="E63" i="2"/>
  <c r="F63" i="2" s="1"/>
  <c r="G63" i="2" s="1"/>
  <c r="H63" i="2" s="1"/>
  <c r="I63" i="2" s="1"/>
  <c r="E67" i="2"/>
  <c r="F67" i="2" s="1"/>
  <c r="G67" i="2" s="1"/>
  <c r="H67" i="2" s="1"/>
  <c r="I67" i="2" s="1"/>
  <c r="E71" i="2"/>
  <c r="F71" i="2" s="1"/>
  <c r="G71" i="2" s="1"/>
  <c r="H71" i="2" s="1"/>
  <c r="I71" i="2" s="1"/>
  <c r="E75" i="2"/>
  <c r="F75" i="2" s="1"/>
  <c r="G75" i="2" s="1"/>
  <c r="H75" i="2" s="1"/>
  <c r="I75" i="2" s="1"/>
  <c r="E79" i="2"/>
  <c r="F79" i="2" s="1"/>
  <c r="G79" i="2" s="1"/>
  <c r="H79" i="2" s="1"/>
  <c r="I79" i="2" s="1"/>
  <c r="E83" i="2"/>
  <c r="F83" i="2" s="1"/>
  <c r="G83" i="2" s="1"/>
  <c r="H83" i="2" s="1"/>
  <c r="I83" i="2" s="1"/>
  <c r="H87" i="9"/>
  <c r="N87" i="9" s="1"/>
  <c r="I87" i="9"/>
  <c r="O87" i="9" s="1"/>
  <c r="E82" i="2"/>
  <c r="F82" i="2" s="1"/>
  <c r="G82" i="2" s="1"/>
  <c r="H82" i="2" s="1"/>
  <c r="I82" i="2" s="1"/>
  <c r="G86" i="5"/>
  <c r="H86" i="5"/>
  <c r="D86" i="2"/>
  <c r="E8" i="2"/>
  <c r="F8" i="2" s="1"/>
  <c r="G8" i="2" s="1"/>
  <c r="H8" i="2" s="1"/>
  <c r="I8" i="2" s="1"/>
  <c r="E12" i="2"/>
  <c r="F12" i="2" s="1"/>
  <c r="G12" i="2" s="1"/>
  <c r="H12" i="2" s="1"/>
  <c r="I12" i="2" s="1"/>
  <c r="E16" i="2"/>
  <c r="F16" i="2" s="1"/>
  <c r="G16" i="2" s="1"/>
  <c r="H16" i="2" s="1"/>
  <c r="I16" i="2" s="1"/>
  <c r="E20" i="2"/>
  <c r="F20" i="2" s="1"/>
  <c r="G20" i="2" s="1"/>
  <c r="H20" i="2" s="1"/>
  <c r="I20" i="2" s="1"/>
  <c r="E24" i="2"/>
  <c r="F24" i="2" s="1"/>
  <c r="G24" i="2" s="1"/>
  <c r="H24" i="2" s="1"/>
  <c r="I24" i="2" s="1"/>
  <c r="E28" i="2"/>
  <c r="F28" i="2" s="1"/>
  <c r="G28" i="2" s="1"/>
  <c r="H28" i="2" s="1"/>
  <c r="I28" i="2" s="1"/>
  <c r="E32" i="2"/>
  <c r="F32" i="2" s="1"/>
  <c r="G32" i="2" s="1"/>
  <c r="H32" i="2" s="1"/>
  <c r="I32" i="2" s="1"/>
  <c r="E36" i="2"/>
  <c r="F36" i="2" s="1"/>
  <c r="G36" i="2" s="1"/>
  <c r="H36" i="2" s="1"/>
  <c r="I36" i="2" s="1"/>
  <c r="E40" i="2"/>
  <c r="F40" i="2" s="1"/>
  <c r="G40" i="2" s="1"/>
  <c r="H40" i="2" s="1"/>
  <c r="I40" i="2" s="1"/>
  <c r="E44" i="2"/>
  <c r="F44" i="2" s="1"/>
  <c r="G44" i="2" s="1"/>
  <c r="H44" i="2" s="1"/>
  <c r="I44" i="2" s="1"/>
  <c r="E48" i="2"/>
  <c r="F48" i="2" s="1"/>
  <c r="G48" i="2" s="1"/>
  <c r="H48" i="2" s="1"/>
  <c r="I48" i="2" s="1"/>
  <c r="E52" i="2"/>
  <c r="F52" i="2" s="1"/>
  <c r="G52" i="2" s="1"/>
  <c r="H52" i="2" s="1"/>
  <c r="I52" i="2" s="1"/>
  <c r="E56" i="2"/>
  <c r="F56" i="2" s="1"/>
  <c r="G56" i="2" s="1"/>
  <c r="H56" i="2" s="1"/>
  <c r="I56" i="2" s="1"/>
  <c r="E60" i="2"/>
  <c r="F60" i="2" s="1"/>
  <c r="G60" i="2" s="1"/>
  <c r="H60" i="2" s="1"/>
  <c r="I60" i="2" s="1"/>
  <c r="E64" i="2"/>
  <c r="F64" i="2" s="1"/>
  <c r="G64" i="2" s="1"/>
  <c r="H64" i="2" s="1"/>
  <c r="I64" i="2" s="1"/>
  <c r="E68" i="2"/>
  <c r="F68" i="2" s="1"/>
  <c r="G68" i="2" s="1"/>
  <c r="H68" i="2" s="1"/>
  <c r="I68" i="2" s="1"/>
  <c r="E72" i="2"/>
  <c r="F72" i="2" s="1"/>
  <c r="G72" i="2" s="1"/>
  <c r="H72" i="2" s="1"/>
  <c r="I72" i="2" s="1"/>
  <c r="E76" i="2"/>
  <c r="F76" i="2" s="1"/>
  <c r="G76" i="2" s="1"/>
  <c r="H76" i="2" s="1"/>
  <c r="I76" i="2" s="1"/>
  <c r="E80" i="2"/>
  <c r="F80" i="2" s="1"/>
  <c r="G80" i="2" s="1"/>
  <c r="H80" i="2" s="1"/>
  <c r="I80" i="2" s="1"/>
  <c r="E85" i="2"/>
  <c r="F85" i="2" s="1"/>
  <c r="G85" i="2" s="1"/>
  <c r="H85" i="2" s="1"/>
  <c r="I85" i="2" s="1"/>
  <c r="C86" i="2"/>
  <c r="R86" i="4"/>
  <c r="S23" i="4" s="1"/>
  <c r="E7" i="2"/>
  <c r="K61" i="4" l="1"/>
  <c r="K10" i="4"/>
  <c r="S55" i="4"/>
  <c r="S34" i="4"/>
  <c r="S20" i="4"/>
  <c r="S54" i="4"/>
  <c r="S42" i="4"/>
  <c r="S76" i="4"/>
  <c r="S69" i="4"/>
  <c r="S14" i="4"/>
  <c r="S9" i="4"/>
  <c r="S51" i="4"/>
  <c r="S62" i="4"/>
  <c r="S30" i="4"/>
  <c r="S16" i="4"/>
  <c r="S36" i="4"/>
  <c r="S24" i="4"/>
  <c r="S67" i="4"/>
  <c r="S71" i="4"/>
  <c r="S45" i="4"/>
  <c r="S82" i="4"/>
  <c r="S72" i="4"/>
  <c r="S41" i="4"/>
  <c r="S6" i="4"/>
  <c r="S19" i="4"/>
  <c r="S61" i="4"/>
  <c r="S15" i="4"/>
  <c r="S58" i="4"/>
  <c r="S66" i="4"/>
  <c r="S10" i="4"/>
  <c r="S44" i="4"/>
  <c r="S13" i="4"/>
  <c r="S40" i="4"/>
  <c r="S46" i="4"/>
  <c r="S84" i="4"/>
  <c r="S26" i="4"/>
  <c r="S60" i="4"/>
  <c r="S83" i="4"/>
  <c r="S56" i="4"/>
  <c r="S32" i="4"/>
  <c r="S65" i="4"/>
  <c r="S75" i="4"/>
  <c r="S43" i="4"/>
  <c r="S11" i="4"/>
  <c r="S77" i="4"/>
  <c r="S53" i="4"/>
  <c r="S22" i="4"/>
  <c r="S7" i="4"/>
  <c r="K86" i="4"/>
  <c r="K34" i="4"/>
  <c r="K48" i="4"/>
  <c r="K64" i="4"/>
  <c r="K43" i="4"/>
  <c r="K29" i="4"/>
  <c r="K28" i="4"/>
  <c r="K71" i="4"/>
  <c r="K52" i="4"/>
  <c r="K51" i="4"/>
  <c r="K33" i="4"/>
  <c r="K31" i="4"/>
  <c r="K37" i="4"/>
  <c r="K83" i="4"/>
  <c r="K19" i="4"/>
  <c r="K84" i="4"/>
  <c r="K42" i="4"/>
  <c r="K82" i="4"/>
  <c r="K40" i="4"/>
  <c r="K55" i="4"/>
  <c r="K66" i="4"/>
  <c r="K13" i="4"/>
  <c r="K20" i="4"/>
  <c r="K54" i="4"/>
  <c r="K44" i="4"/>
  <c r="K18" i="4"/>
  <c r="K25" i="4"/>
  <c r="K57" i="4"/>
  <c r="K47" i="4"/>
  <c r="K41" i="4"/>
  <c r="K12" i="4"/>
  <c r="K35" i="4"/>
  <c r="K17" i="4"/>
  <c r="K67" i="4"/>
  <c r="K72" i="4"/>
  <c r="K81" i="4"/>
  <c r="K68" i="4"/>
  <c r="K32" i="4"/>
  <c r="K23" i="4"/>
  <c r="K38" i="4"/>
  <c r="K16" i="4"/>
  <c r="K78" i="4"/>
  <c r="K26" i="4"/>
  <c r="K21" i="4"/>
  <c r="K27" i="4"/>
  <c r="K75" i="4"/>
  <c r="K9" i="4"/>
  <c r="K8" i="4"/>
  <c r="K15" i="4"/>
  <c r="K30" i="4"/>
  <c r="K70" i="4"/>
  <c r="K74" i="4"/>
  <c r="K6" i="4"/>
  <c r="K56" i="4"/>
  <c r="K36" i="4"/>
  <c r="K73" i="4"/>
  <c r="K7" i="4"/>
  <c r="K22" i="4"/>
  <c r="K79" i="4"/>
  <c r="K53" i="4"/>
  <c r="K49" i="4"/>
  <c r="K77" i="4"/>
  <c r="K11" i="4"/>
  <c r="K58" i="4"/>
  <c r="K65" i="4"/>
  <c r="K80" i="4"/>
  <c r="K14" i="4"/>
  <c r="K62" i="4"/>
  <c r="K45" i="4"/>
  <c r="K24" i="4"/>
  <c r="K69" i="4"/>
  <c r="K59" i="4"/>
  <c r="K50" i="4"/>
  <c r="K76" i="4"/>
  <c r="K46" i="4"/>
  <c r="K60" i="4"/>
  <c r="S49" i="4"/>
  <c r="S25" i="4"/>
  <c r="S29" i="4"/>
  <c r="S59" i="4"/>
  <c r="S27" i="4"/>
  <c r="S73" i="4"/>
  <c r="S70" i="4"/>
  <c r="S38" i="4"/>
  <c r="S86" i="4"/>
  <c r="S17" i="4"/>
  <c r="S80" i="4"/>
  <c r="S78" i="4"/>
  <c r="S57" i="4"/>
  <c r="S33" i="4"/>
  <c r="S81" i="4"/>
  <c r="S68" i="4"/>
  <c r="S35" i="4"/>
  <c r="S12" i="4"/>
  <c r="S79" i="4"/>
  <c r="S47" i="4"/>
  <c r="S31" i="4"/>
  <c r="S8" i="4"/>
  <c r="S74" i="4"/>
  <c r="S50" i="4"/>
  <c r="S18" i="4"/>
  <c r="S21" i="4"/>
  <c r="S52" i="4"/>
  <c r="S28" i="4"/>
  <c r="S37" i="4"/>
  <c r="S64" i="4"/>
  <c r="S48" i="4"/>
  <c r="E86" i="2"/>
  <c r="F86" i="2" s="1"/>
  <c r="F7" i="2"/>
  <c r="G7" i="2" s="1"/>
  <c r="H7" i="2" s="1"/>
  <c r="I7" i="2" s="1"/>
  <c r="F87" i="2" l="1"/>
  <c r="G86" i="2"/>
  <c r="H86" i="2" l="1"/>
  <c r="G87" i="2"/>
  <c r="I86" i="2" l="1"/>
  <c r="I87" i="2" s="1"/>
  <c r="H8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 Lurich</author>
  </authors>
  <commentList>
    <comment ref="I14" authorId="0" shapeId="0" xr:uid="{3557C927-2E45-4AC4-96C3-288581ADB1CD}">
      <text>
        <r>
          <rPr>
            <sz val="9"/>
            <color indexed="81"/>
            <rFont val="Segoe UI"/>
            <family val="2"/>
          </rPr>
          <t xml:space="preserve">Suure hooldusvajaduse puhul kuni 650 eurot teenusesaaja kohta kalendrikuus, ulatusliku hooldusvajaduse puhul kuni 750 eurot teenusesaaja kohta kalendrikuus. Allikas: https://www.kuusalu.ee/et/valjaspool-kodu-osutatav-uldhooldusteenus
</t>
        </r>
      </text>
    </comment>
    <comment ref="F47" authorId="0" shapeId="0" xr:uid="{E7FDC2BD-196A-4535-9CA2-A81BD36AA530}">
      <text>
        <r>
          <rPr>
            <sz val="9"/>
            <color indexed="81"/>
            <rFont val="Segoe UI"/>
            <family val="2"/>
          </rPr>
          <t xml:space="preserve">
620 alates 01.01.2024</t>
        </r>
      </text>
    </comment>
    <comment ref="I62" authorId="0" shapeId="0" xr:uid="{F9D5D5A7-A97E-46B8-8049-F66259E6244D}">
      <text>
        <r>
          <rPr>
            <sz val="9"/>
            <color indexed="81"/>
            <rFont val="Segoe UI"/>
            <family val="2"/>
          </rPr>
          <t xml:space="preserve">Suure hooldusvajaduse puhul kuni 400 eurot teenusesaaja kohta kalendrikuus, ulatusliku hooldusvajaduse puhul kuni 590 eurot teenusesaaja kohta kalendrikuus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D719E97-8A9B-4F00-9FFA-E619F4F8B949}" keepAlive="1" name="Päring - Tabel1" description="Ühendus päringusse Tabel1 töövihikus." type="5" refreshedVersion="8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<sst xmlns="http://schemas.openxmlformats.org/spreadsheetml/2006/main" count="3262" uniqueCount="500">
  <si>
    <t>Maakond</t>
  </si>
  <si>
    <t>Kohalik omavalitsus</t>
  </si>
  <si>
    <t>Tasandusfondist</t>
  </si>
  <si>
    <t>KOKKU</t>
  </si>
  <si>
    <t>1 kuu tulumaks</t>
  </si>
  <si>
    <t>Erihoolekandest isikud</t>
  </si>
  <si>
    <t>Põranda tagamine</t>
  </si>
  <si>
    <t>Harju</t>
  </si>
  <si>
    <t>Anija vald</t>
  </si>
  <si>
    <t>Harku vald</t>
  </si>
  <si>
    <t>Jõelähtme vald</t>
  </si>
  <si>
    <t>Keila linn</t>
  </si>
  <si>
    <t>Kiili vald</t>
  </si>
  <si>
    <t>Kose vald</t>
  </si>
  <si>
    <t>Kuusalu vald</t>
  </si>
  <si>
    <t>Loksa linn</t>
  </si>
  <si>
    <t>Lääne-Harju vald</t>
  </si>
  <si>
    <t>Maardu linn</t>
  </si>
  <si>
    <t>Raasiku vald</t>
  </si>
  <si>
    <t>Rae vald</t>
  </si>
  <si>
    <t>Saku vald</t>
  </si>
  <si>
    <t>Saue vald</t>
  </si>
  <si>
    <t>Tallinna linn</t>
  </si>
  <si>
    <t>Viimsi vald</t>
  </si>
  <si>
    <t>Hiiu</t>
  </si>
  <si>
    <t>Hiiumaa vald</t>
  </si>
  <si>
    <t>Ida-Viru</t>
  </si>
  <si>
    <t>Alutaguse vald</t>
  </si>
  <si>
    <t>Jõhvi vald</t>
  </si>
  <si>
    <t>Kohtla-Järve linn</t>
  </si>
  <si>
    <t>Lüganuse vald</t>
  </si>
  <si>
    <t>Narva linn</t>
  </si>
  <si>
    <t>Narva-Jõesuu linn</t>
  </si>
  <si>
    <t>Sillamäe linn</t>
  </si>
  <si>
    <t>Toila vald</t>
  </si>
  <si>
    <t>Jõgeva</t>
  </si>
  <si>
    <t>Jõgeva vald</t>
  </si>
  <si>
    <t>Mustvee vald</t>
  </si>
  <si>
    <t>Põltsamaa vald</t>
  </si>
  <si>
    <t>Järva</t>
  </si>
  <si>
    <t>Järva vald</t>
  </si>
  <si>
    <t>Paide linn</t>
  </si>
  <si>
    <t>Türi vald</t>
  </si>
  <si>
    <t>Lääne</t>
  </si>
  <si>
    <t>Haapsalu linn</t>
  </si>
  <si>
    <t>Lääne-Nigula vald</t>
  </si>
  <si>
    <t>Vormsi vald</t>
  </si>
  <si>
    <t>Lääne-Viru</t>
  </si>
  <si>
    <t>Haljala vald</t>
  </si>
  <si>
    <t>Kadrina vald</t>
  </si>
  <si>
    <t>Rakvere vald</t>
  </si>
  <si>
    <t>Rakvere linn</t>
  </si>
  <si>
    <t>Tapa vald</t>
  </si>
  <si>
    <t>Vinni vald</t>
  </si>
  <si>
    <t>Viru-Nigula vald</t>
  </si>
  <si>
    <t>Väike-Maarja vald</t>
  </si>
  <si>
    <t>Põlva</t>
  </si>
  <si>
    <t>Kanepi vald</t>
  </si>
  <si>
    <t>Põlva vald</t>
  </si>
  <si>
    <t>Räpina vald</t>
  </si>
  <si>
    <t>Pärnu</t>
  </si>
  <si>
    <t>Häädemeeste vald</t>
  </si>
  <si>
    <t>Kihnu vald</t>
  </si>
  <si>
    <t>Lääneranna vald</t>
  </si>
  <si>
    <t>Põhja-Pärnumaa vald</t>
  </si>
  <si>
    <t>Pärnu linn</t>
  </si>
  <si>
    <t>Saarde vald</t>
  </si>
  <si>
    <t>Tori vald</t>
  </si>
  <si>
    <t>Rapla</t>
  </si>
  <si>
    <t>Kehtna vald</t>
  </si>
  <si>
    <t>Kohila vald</t>
  </si>
  <si>
    <t>Märjamaa vald</t>
  </si>
  <si>
    <t>Rapla vald</t>
  </si>
  <si>
    <t>Saare</t>
  </si>
  <si>
    <t>Muhu vald</t>
  </si>
  <si>
    <t>Ruhnu vald</t>
  </si>
  <si>
    <t>Saaremaa vald</t>
  </si>
  <si>
    <t>Tartu</t>
  </si>
  <si>
    <t>Elva vald</t>
  </si>
  <si>
    <t>Kambja vald</t>
  </si>
  <si>
    <t>Kastre vald</t>
  </si>
  <si>
    <t>Luunja vald</t>
  </si>
  <si>
    <t>Nõo vald</t>
  </si>
  <si>
    <t>Peipsiääre vald</t>
  </si>
  <si>
    <t>Tartu vald</t>
  </si>
  <si>
    <t>Tartu linn</t>
  </si>
  <si>
    <t>Valga</t>
  </si>
  <si>
    <t>Otepää vald</t>
  </si>
  <si>
    <t>Tõrva vald</t>
  </si>
  <si>
    <t>Valga vald</t>
  </si>
  <si>
    <t>Viljandi</t>
  </si>
  <si>
    <t>Mulgi vald</t>
  </si>
  <si>
    <t>Põhja-Sakala vald</t>
  </si>
  <si>
    <t>Viljandi vald</t>
  </si>
  <si>
    <t>Viljandi linn</t>
  </si>
  <si>
    <t>Võru</t>
  </si>
  <si>
    <t>Antsla vald</t>
  </si>
  <si>
    <t>Rõuge vald</t>
  </si>
  <si>
    <t>Setomaa vald</t>
  </si>
  <si>
    <t>Võru vald</t>
  </si>
  <si>
    <t>Võru linn</t>
  </si>
  <si>
    <t>Pikaajalise hoolduse lisavahendid 2024 [KOV TB; Tasandusfond]</t>
  </si>
  <si>
    <t>lus, eurodes</t>
  </si>
  <si>
    <t>eurodes</t>
  </si>
  <si>
    <t>Riiklik pensionitulu kokku, €</t>
  </si>
  <si>
    <t>KOV 2,5% KOV FITM prognoosis, mln €</t>
  </si>
  <si>
    <t>PIH 1,88 % KOV TB, mln €</t>
  </si>
  <si>
    <t>PIH rahastuse kasv v eelmine a, mln €</t>
  </si>
  <si>
    <t>Pensionitulu kasv</t>
  </si>
  <si>
    <t>20 % omaosa-</t>
  </si>
  <si>
    <t>*Koostas: ELVL analüütik Helmut Hallemaa</t>
  </si>
  <si>
    <t>Seetõttu KOV-iti kasvu arvutamiseks peaks aluseks võtma tulumaksu laekumise prognoosi muutuse, mitte pensionitulu muutuse.</t>
  </si>
  <si>
    <t>66,3*</t>
  </si>
  <si>
    <t>*laekumine oleks RAM järgi 72,3 mln eurot, kui jaanuaris oleks ka laekunud.</t>
  </si>
  <si>
    <t>KOV 1,88 % KOV TB.st, €</t>
  </si>
  <si>
    <t>KOV 1,88 % KOV TB.st, milj €</t>
  </si>
  <si>
    <t>KOV 1,88 % KOV TB.st, kasv v ea, milj €</t>
  </si>
  <si>
    <t xml:space="preserve">78,6/66,3 on +18,6%. Kuna RAM ei arvesta kuulise täpsusega oma numbreid ehk on jaanuari laekumise puudumist 2024.a üle hinnanud, </t>
  </si>
  <si>
    <t xml:space="preserve">siis ma kohendaks selle 2024.a tm KOV eeldatava laekumise veidi ülesse 66,7 mln eurole ning </t>
  </si>
  <si>
    <t>arvestaks KOV-de 2025.a tm laekumise kasvuks 78,6/66,7=+17,8%.</t>
  </si>
  <si>
    <t xml:space="preserve">PIH, ÜLH </t>
  </si>
  <si>
    <t xml:space="preserve">  kogu kulu 2024,  arvestuslik</t>
  </si>
  <si>
    <t>PIH, ÜLH KOV</t>
  </si>
  <si>
    <t>PIH. ÜLH KOV</t>
  </si>
  <si>
    <t xml:space="preserve">**KOV-d hakkasid üldhooldusteenusel viibijate arve, näitajaid STAR-i sisestama alates 01.06.2023 </t>
  </si>
  <si>
    <t>KOV oma-osaluse määr %</t>
  </si>
  <si>
    <t>Seletuskiri</t>
  </si>
  <si>
    <t>KOV OOS võrrel EST keskm %</t>
  </si>
  <si>
    <t>vähem, -1 kuni -10%</t>
  </si>
  <si>
    <t>vähem, -11 kuni -20%</t>
  </si>
  <si>
    <t>vähem, -21 kuni -30%</t>
  </si>
  <si>
    <t>vähem, alla -31%</t>
  </si>
  <si>
    <t>KOV toetus</t>
  </si>
  <si>
    <t>%</t>
  </si>
  <si>
    <t>arv</t>
  </si>
  <si>
    <t>keskm suhtes</t>
  </si>
  <si>
    <t xml:space="preserve">RaM kohendas veel 2024.a pensionitulu summat. Pensionitulu kasvab 8,7% ja selle võrra kasvab ka KOV laekumine, aga lisaks sellele </t>
  </si>
  <si>
    <t>laekub 2025.a KOV-dele tulumaksu ka jaanuaris (mis 2024.a eraldati läbi tasandusfondi)</t>
  </si>
  <si>
    <t xml:space="preserve">*Andmed, riiklik pensionitulu ning 2,5 % ja 1,88 % pensionide tulumaksust (PTM) KOV TB 2024. aasta prognoosides, eelarvetes: </t>
  </si>
  <si>
    <t xml:space="preserve">*Andmed, riiklik pensionitulu prognoos 2024-2028, Eesti kokku: rahandusministeeriumi 2024. aasta kevadprognoos; </t>
  </si>
  <si>
    <t>*Aandmed, töötlus, pikajalise hoolduse rahastus, KOV-d; prognoosi baasil arvutused, ELVL, analüütik Helmut Hallemaa</t>
  </si>
  <si>
    <t>*Tabeli andmed, 2,5 % PTM KOV TB-s, 1,88 % KOV-i TB-s, KOV-d: prognoosi baasil arvutused; ELVL, analüütik Helmut Hallemaa</t>
  </si>
  <si>
    <t xml:space="preserve">Üldoolduse (ÜLH) hoolduskulude (HOOLK) piirmäärad (PIM) ning hoolduskulude piirmäärad </t>
  </si>
  <si>
    <t>kohalikud omavalitsused; andmed, arvestused, hinnangud; KOV-de eelarvetes; 03-04.2024 (edaspidiselt KOV andmed)</t>
  </si>
  <si>
    <t xml:space="preserve">*Andmed, Pikaajalise hoolduse PIH, selles eeskätt üldhoolduse ÜLH KOV-i omaosalus, puuduolev osa 2024, arvestuslik: </t>
  </si>
  <si>
    <t>EESTI KOKKU</t>
  </si>
  <si>
    <t xml:space="preserve">Põhja-Pärnumaa vald </t>
  </si>
  <si>
    <t>2024 KOKKU</t>
  </si>
  <si>
    <t>KOV TB-s</t>
  </si>
  <si>
    <t>2024, 11 K</t>
  </si>
  <si>
    <t>2024 1K</t>
  </si>
  <si>
    <t>Pikaajalise hoolduse (PIH) rahastus, lisavahendid, 1,88 % pensionide tulumaksust (PTM) KOV TB-s -</t>
  </si>
  <si>
    <t>kasv eurodes</t>
  </si>
  <si>
    <t>650;750</t>
  </si>
  <si>
    <t>ei kehtesta</t>
  </si>
  <si>
    <t>400;590</t>
  </si>
  <si>
    <t>EESTI KESKMINE</t>
  </si>
  <si>
    <t>2023 II kvartal</t>
  </si>
  <si>
    <t>2024 II kvartal</t>
  </si>
  <si>
    <t>ei ole ÜLHT</t>
  </si>
  <si>
    <t xml:space="preserve">***Pikajaline hooldus (PIH) väljaspool kodu - üldhooldus (ÜLH), üldhooldusteenus [ÜLHT], </t>
  </si>
  <si>
    <t xml:space="preserve">***Üldhooldusteenus [ÜLHT] - üldhoolduse (ÜLH) osutamine ja kasutamine  </t>
  </si>
  <si>
    <t xml:space="preserve">***Üldhooldus (ÜLH) - Pikajaline hooldus (PIH) väljaspool kodu </t>
  </si>
  <si>
    <t xml:space="preserve">***Hooldekodu [HOK] - Pikaajalise hoolduse (PIH) väljaspool kodu osutamise asutus </t>
  </si>
  <si>
    <t xml:space="preserve">***Koduhooldus (KOH) - Pikajaline hooldus (PIH) kodus </t>
  </si>
  <si>
    <t>2023 eiolnud</t>
  </si>
  <si>
    <t>***Pikajaline hooldus (PIH) kodus - koduhooldus (KOH), koduhooldusteenus (KOHT)</t>
  </si>
  <si>
    <t>*KOV toetus - üldhooldusel, hooldekodus KOV toetusega; 01.03.2023; 01.03.2024; KOV-de andmed</t>
  </si>
  <si>
    <t xml:space="preserve">eurot </t>
  </si>
  <si>
    <t xml:space="preserve">2022 II pa  </t>
  </si>
  <si>
    <t xml:space="preserve">2023 II pa </t>
  </si>
  <si>
    <t>Seletuskiri, kommentaarid:</t>
  </si>
  <si>
    <t>2023 versus 2022 (II pa)</t>
  </si>
  <si>
    <t>eurot</t>
  </si>
  <si>
    <t>Seleteuskiri, arvutuste aluseid avavad, selgitavad kommentaarid:</t>
  </si>
  <si>
    <t>PIH üldhoolduse (ÜLH)</t>
  </si>
  <si>
    <t xml:space="preserve">Demograafiline struktuur 2024 ning selle muutused ja trendid 2018-2024 – KOV-d ja Eesti kokku </t>
  </si>
  <si>
    <t xml:space="preserve">Pikaajalise hoolduse (PIH) rahastus, lisavahendid, 1,88 % pensionide tulumaksust (PTM) KOV TB-s – </t>
  </si>
  <si>
    <t>prognoos 2024-2028 – KOV-d arvutused, Eesti kokku; Riiklik pensionitulu, 2,5 % PTM-st KOV TB-s</t>
  </si>
  <si>
    <t xml:space="preserve">Hooldereformi (HOR), pikaajalise hoolduse (PIH), üldhoolduse (ÜLH) kulud – </t>
  </si>
  <si>
    <t xml:space="preserve">Hooldereformi (HOR), pikaajalise hoolduse (PIH) ja üldhoolduse (ÜLH) reformi analüüs – </t>
  </si>
  <si>
    <t xml:space="preserve">Pikaajalisel hooldusel (PIH) väljaspool kodu – üldhooldusteenusel [ÜLHT], hooldekodus [HOK] viibijate arv 2023-2024 </t>
  </si>
  <si>
    <t xml:space="preserve">võrrelduna keskmise pensioni suhtes, 2022, 2023 II kvartal ja 2024 kvartal II kvartal </t>
  </si>
  <si>
    <t>Elanike arv ja demograafiline struktuur (65+)</t>
  </si>
  <si>
    <t>elanike arv</t>
  </si>
  <si>
    <t>65+</t>
  </si>
  <si>
    <t>sh 65-84</t>
  </si>
  <si>
    <t>sh 85+</t>
  </si>
  <si>
    <t>01.01.</t>
  </si>
  <si>
    <t>osatähtsus rahvastikus, elanike arvust, %</t>
  </si>
  <si>
    <t>hoolduse kogukulud EUR</t>
  </si>
  <si>
    <t>Demografiline struktuur (suhteline) 2018 -</t>
  </si>
  <si>
    <t>Demografiline struktuur (suhteline) 2024 -</t>
  </si>
  <si>
    <t>2023, inimest</t>
  </si>
  <si>
    <t>2024, inimest</t>
  </si>
  <si>
    <t>inimeste arv</t>
  </si>
  <si>
    <t>protsendid, %-d</t>
  </si>
  <si>
    <t>2024 versus 2018 %-des</t>
  </si>
  <si>
    <t>30.06.2024; ELVL</t>
  </si>
  <si>
    <t>Teadmata</t>
  </si>
  <si>
    <t>ÜLHT, HOK viibijate arv 01.03 2024/</t>
  </si>
  <si>
    <t xml:space="preserve">Üldhoolduse (ÜLH) hoolduskulude (HOOK) piirmäärad (PIM) </t>
  </si>
  <si>
    <t>01.07 grupid</t>
  </si>
  <si>
    <t>620 - 700</t>
  </si>
  <si>
    <t>500 ja alla</t>
  </si>
  <si>
    <t>üle 700</t>
  </si>
  <si>
    <t>520 - 600</t>
  </si>
  <si>
    <t>*Koostas: ELVL analüütik ja ekspert Helmut Hallemaa</t>
  </si>
  <si>
    <r>
      <t xml:space="preserve">2024. aastal kaetakse inimese sissetuleku ja eelmise aasta (2023) teise kvartali keskmise pensioni – </t>
    </r>
    <r>
      <rPr>
        <b/>
        <sz val="11"/>
        <color theme="1"/>
        <rFont val="Times New Roman"/>
        <family val="1"/>
        <charset val="186"/>
      </rPr>
      <t>704,3 eurot – vahe.</t>
    </r>
    <r>
      <rPr>
        <sz val="11"/>
        <color theme="1"/>
        <rFont val="Times New Roman"/>
        <family val="1"/>
        <charset val="186"/>
      </rPr>
      <t xml:space="preserve"> </t>
    </r>
  </si>
  <si>
    <t>sotsiaalteenuste ja -toetuste andmeregistris STAR, Riigi infosüsteemi haldussüsteemi osana, https://www.riha.ee/Infos%C3%BCsteemid/Vaata/star;</t>
  </si>
  <si>
    <t>sotsiaalteenuste ja -toetuste andmeregistris STAR, Sotsiaalkindlustusameti, SKA vahendusel; KOV-de poolt täpsustatud, korrastatud andmed STAR-is</t>
  </si>
  <si>
    <t>31.07.2024; ELVL</t>
  </si>
  <si>
    <t xml:space="preserve">***STAR - sotsiaalteenuste ja -toetuste andmeregister, Riigi infosüsteemi haldussüsteemi osana, </t>
  </si>
  <si>
    <t>https://www.riha.ee/Infos%C3%BCsteemid/Vaata/star;</t>
  </si>
  <si>
    <t>versus, võrdluses 2023, KOV toetatud</t>
  </si>
  <si>
    <t xml:space="preserve">versus, võrdluses 2023, KOKKU      </t>
  </si>
  <si>
    <t>PIH ÜLH kulud 2023 II pa</t>
  </si>
  <si>
    <t>2022EIOLE</t>
  </si>
  <si>
    <t xml:space="preserve">Regionaal- ja põllumajandusministeerium, https://www.agri.ee/; Rahandusministeerium, https://www.fin.ee/ 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</si>
  <si>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</si>
  <si>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</si>
  <si>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</si>
  <si>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</si>
  <si>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</si>
  <si>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</si>
  <si>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</si>
  <si>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</si>
  <si>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</si>
  <si>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</si>
  <si>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</si>
  <si>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</si>
  <si>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</si>
  <si>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</si>
  <si>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</si>
  <si>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KOKKU (STAR)</t>
  </si>
  <si>
    <t>KOV teadmata</t>
  </si>
  <si>
    <t>ARVEEIVÕ</t>
  </si>
  <si>
    <t>konto 10200</t>
  </si>
  <si>
    <t xml:space="preserve">ÜLH KULUD, KOKKU, põhi- </t>
  </si>
  <si>
    <t>vara soetuseta</t>
  </si>
  <si>
    <t>KOV omaosalus,</t>
  </si>
  <si>
    <t>toetus rahast - TTF</t>
  </si>
  <si>
    <t xml:space="preserve">HOR PIH riiklik </t>
  </si>
  <si>
    <t>PIH ÜLH KOGU kulud-</t>
  </si>
  <si>
    <t>ÜLH KULUD, KOKKU, põhi-</t>
  </si>
  <si>
    <t>Riiklik rahastus</t>
  </si>
  <si>
    <t>HOR toetus TTF</t>
  </si>
  <si>
    <t>Üldhoolduse ÜLH KULUD 2023</t>
  </si>
  <si>
    <t>PIH üldhoolduse (PLH) kulud, rahastus 2024</t>
  </si>
  <si>
    <t>PIH ÜLH rahas-</t>
  </si>
  <si>
    <t>tus KOKKU</t>
  </si>
  <si>
    <t>panus, täiendav</t>
  </si>
  <si>
    <t xml:space="preserve">PIH lisahendid </t>
  </si>
  <si>
    <t>ÜLHT, hooldekodus HOK viibijate arv</t>
  </si>
  <si>
    <t>Seletuskiri - põhimõisted:</t>
  </si>
  <si>
    <t xml:space="preserve">Seletuskiri - </t>
  </si>
  <si>
    <t>v 01.03.2023</t>
  </si>
  <si>
    <t xml:space="preserve">A 01.07.2023 </t>
  </si>
  <si>
    <t xml:space="preserve">% 01.07.2023 </t>
  </si>
  <si>
    <t xml:space="preserve">A 01.01.2024 </t>
  </si>
  <si>
    <t>v 01.07.2023</t>
  </si>
  <si>
    <t>IS EI OLNUD</t>
  </si>
  <si>
    <t>v 01.01.2024</t>
  </si>
  <si>
    <t>A 30.06.2024</t>
  </si>
  <si>
    <t>% 30.06.2024</t>
  </si>
  <si>
    <t>*Andmed, üldhoolduteenusel (ÜLHT) hooldekodus HOK viibivate iskute, viibijate arvud, 01.03.2023; 01.03.2024; KOV toetatud: KOV-de andmed</t>
  </si>
  <si>
    <t>*Andmed, üldhoolduteenusel (ÜLHT) hooldekodus HOK viibivate iskute, viibijate arvud, ülejäänud seisud 2023 ja 2024: STAR, SKA vahendusel</t>
  </si>
  <si>
    <t>*Andmed, üldhoolduteenusel (ÜLHT) hooldekodus HOK viibivate iskute, viibijate arvud; KOKKU; 01.03.2023; 01.07.2023, 01.01.2024:</t>
  </si>
  <si>
    <t>*Andmed, üldhoolduteenuel (ÜLHT) hooldekodus HOK viibivate iskute, viibijate arvud, KOV-d, maakonnad; 30.06.2024:</t>
  </si>
  <si>
    <t>ARVEEIVÕET</t>
  </si>
  <si>
    <t>2023 ei olnud</t>
  </si>
  <si>
    <t xml:space="preserve">ARVE EIVÕ </t>
  </si>
  <si>
    <t>vara soetusega        konto 10200</t>
  </si>
  <si>
    <t>ÜLH NETOKULUD, põhivara soe-</t>
  </si>
  <si>
    <t>panus, PÕV soet-ta</t>
  </si>
  <si>
    <t>KOV oma-</t>
  </si>
  <si>
    <t>osalus, panus</t>
  </si>
  <si>
    <t>tuseta, amortisatsiooniga konto 10200</t>
  </si>
  <si>
    <t xml:space="preserve">PIH ÜLH KOV kogukulud, </t>
  </si>
  <si>
    <t>2023 versus 2022</t>
  </si>
  <si>
    <t>2024 versus 2022</t>
  </si>
  <si>
    <t>2024 versus 2023</t>
  </si>
  <si>
    <t>Eesti keskm</t>
  </si>
  <si>
    <t>PIH ÜLH KOV kulud, KOV omaosalus</t>
  </si>
  <si>
    <t xml:space="preserve"> 2024 versus 2022</t>
  </si>
  <si>
    <t>% võrdluses</t>
  </si>
  <si>
    <t>IS EIOLNUD</t>
  </si>
  <si>
    <t xml:space="preserve">*Andmed, üldhoolduteenusel (ÜLHT) hooldekodus HOK viibivate iskute, viibijate arvud; KOKKU; 01.10.2023; </t>
  </si>
  <si>
    <t xml:space="preserve">A 01.10.2023 </t>
  </si>
  <si>
    <t xml:space="preserve">% 01.10.2023 </t>
  </si>
  <si>
    <t>v 01.10.2023</t>
  </si>
  <si>
    <t>KOKKU (unikaalselt)</t>
  </si>
  <si>
    <t>Üldhooldusteenusel ÜLHT, hooldekodudes HOK viibivate</t>
  </si>
  <si>
    <t>isikute, viibijate (unikaalsete iskute) arv KOKKU</t>
  </si>
  <si>
    <t>Üldhooldusteenusel ÜLHT, HOK viibivate isikute, viibijate (unikaalsete isikute) arvu muutus, võrdluses - arv A, %</t>
  </si>
  <si>
    <t>ÜLHT teenusel viibivad isikud 30.06.2024 seisuga</t>
  </si>
  <si>
    <t>ISEIOLNUD</t>
  </si>
  <si>
    <t>01.09,2023</t>
  </si>
  <si>
    <t>kui ka riigi hooldereformi (HOR) eraldised KOV-dele, pikaajalise hoolduse (PIH) riiklik toetus</t>
  </si>
  <si>
    <t>v EST kekm</t>
  </si>
  <si>
    <t xml:space="preserve">*Andmed, Pikaajalise hoolduse PIH, selles eeskätt üldhoolduse ÜLH, KOV-i omaosalus, puuduolev osa 2024, arvestuslik: </t>
  </si>
  <si>
    <t>v EST keskm</t>
  </si>
  <si>
    <t xml:space="preserve">Elanike arv ja demograafiline </t>
  </si>
  <si>
    <t>E</t>
  </si>
  <si>
    <t>struktuur (65+) 01.01.2018, inim</t>
  </si>
  <si>
    <t xml:space="preserve">koond, tabelid, 01.2024; Rahandusministeerium; https://www.fin.ee/; Regionaal- ja põllumajandusministeerium; www.agri.ee </t>
  </si>
  <si>
    <t xml:space="preserve">koond, tabelid; Rahandusministeerium; https://www.fin.ee/; Regionaal- ja põllumajandusministeerium; www.agri.ee </t>
  </si>
  <si>
    <t xml:space="preserve">*Andmed, demograafiline struktuur, vanusegruoid: Rahvastikuregister, RAR; ELVL kodulehekülg; https://www.elvl.ee/elanike-arv; </t>
  </si>
  <si>
    <t>Tasandus- ja toetusfond 2018, 2023, 2024, koond, tabelid</t>
  </si>
  <si>
    <t xml:space="preserve">*Andmed, rahvaarav 01.01.2024: Rahvastikuregister, RAR; ELVL kodulehekülg; https://www.elvl.ee/elanike-arv; Tasandus- ja toetusfond 2024, </t>
  </si>
  <si>
    <t xml:space="preserve">*Andmed, rahvaarav 01.01.2023: Rahvastikuregister, RAR; ELVL kodulehekülg; https://www.elvl.ee/elanike-arv; Tasandus- ja toetusfond 2023, </t>
  </si>
  <si>
    <t xml:space="preserve">*Andmed, rahvaarav 01.01.2018: Rahvastikuregister, RAR; ELVL kodulehekülg; https://www.elvl.ee/elanike-arv; Tasandus- ja toetusfond 2018, </t>
  </si>
  <si>
    <t>võrreldes Eesti keskm</t>
  </si>
  <si>
    <t>Elanike arvu ja demograafilise struktuuri (65+) muutus 2024 versus 2018</t>
  </si>
  <si>
    <t xml:space="preserve">02. juuni 2024; täiendatud 27. august 2024; ELVL </t>
  </si>
  <si>
    <t>PIH, ÜLH KOV-i omaosalus</t>
  </si>
  <si>
    <t>vähem, -0,1 kuni -10%</t>
  </si>
  <si>
    <t>vähem, -10,1 kuni -20%</t>
  </si>
  <si>
    <t>vähem, -20,1 kuni -30%</t>
  </si>
  <si>
    <t>vähem, alla -30,1%</t>
  </si>
  <si>
    <t xml:space="preserve"> -0,1 k -10%</t>
  </si>
  <si>
    <t xml:space="preserve"> -0,1 k-10%</t>
  </si>
  <si>
    <t>-0,1 k -10%</t>
  </si>
  <si>
    <t xml:space="preserve"> -10,1 k -20%</t>
  </si>
  <si>
    <t>% vahemikud</t>
  </si>
  <si>
    <t xml:space="preserve">suhtes 20 % kuludest, üle vüi alla </t>
  </si>
  <si>
    <t xml:space="preserve"> %</t>
  </si>
  <si>
    <t xml:space="preserve">Demografiline struktuur (suhteline) 2023 - osatähtsus rahvastikus, </t>
  </si>
  <si>
    <t>elanike arvust, %</t>
  </si>
  <si>
    <t>vahemikud</t>
  </si>
  <si>
    <t>vähem, 90 kuni 94,9%</t>
  </si>
  <si>
    <t>vähem, 80 kuni 89,9%</t>
  </si>
  <si>
    <t>vähem, alla 79,9%</t>
  </si>
  <si>
    <t>100-105%</t>
  </si>
  <si>
    <t>105,1-110%</t>
  </si>
  <si>
    <t>110,1-120%</t>
  </si>
  <si>
    <t>üle 120,1%</t>
  </si>
  <si>
    <t>95-99,9%</t>
  </si>
  <si>
    <t>vähem, 95 kuni 99,9%</t>
  </si>
  <si>
    <t>90-94,9%</t>
  </si>
  <si>
    <t>80-89,9%</t>
  </si>
  <si>
    <t xml:space="preserve">Kohalik omavalitsus  </t>
  </si>
  <si>
    <t xml:space="preserve">rahastamine, kulud, teenuse osutamine – Eesti (EST), kohalikud omavalitsused (KOV-d)  </t>
  </si>
  <si>
    <t xml:space="preserve"> lisatav puudujääv osa, omaosalus, 2024, arvestuslik </t>
  </si>
  <si>
    <t>Tulumak- sust (1,88%)</t>
  </si>
  <si>
    <t xml:space="preserve">*Seletuskiri: </t>
  </si>
  <si>
    <t>vähem, -0,1 kuni -5%</t>
  </si>
  <si>
    <t>vähem, -5,1 kuni -10%</t>
  </si>
  <si>
    <t>vähem, alla -20,1%</t>
  </si>
  <si>
    <t xml:space="preserve">*Andmed, PIH lisavahendid; 2024: Tasandus- ja toetusfond 2024, koond, tabelid, 01.2024; Regionaal- ja põllumajandusministeerium; www.agri.ee; </t>
  </si>
  <si>
    <t xml:space="preserve">Rahandusministeerium, www.fin.ee </t>
  </si>
  <si>
    <t xml:space="preserve">** Pikajalise hoolduse (PIH), üldhoolduse (ÜLH) KOV omaosalus (KOV OOS) võrreldes Eesti keskmine % </t>
  </si>
  <si>
    <t>** Pikajalise hoolduse (PIH), üldhoolduse (ÜLH) KOV omaosalus (KOV OOS) võrreldes 20 % kogukuludest</t>
  </si>
  <si>
    <t>2022, 2023 K EI OLE</t>
  </si>
  <si>
    <t>2022 K EI OLE</t>
  </si>
  <si>
    <t>2023 K EI OLE</t>
  </si>
  <si>
    <t>70-79,9%</t>
  </si>
  <si>
    <t>90-99,9%</t>
  </si>
  <si>
    <t>üle 130,1 %</t>
  </si>
  <si>
    <t>rohkem, 0 kuni 9,9%</t>
  </si>
  <si>
    <t>rohkem, 10 kuni 19,9%</t>
  </si>
  <si>
    <t>rohkem, 20 kuni 29,9%</t>
  </si>
  <si>
    <t>rohkem, üle 30%</t>
  </si>
  <si>
    <t>üle 30%</t>
  </si>
  <si>
    <t xml:space="preserve"> 0 kuni 9,9%</t>
  </si>
  <si>
    <t>20 kuni 29,9%</t>
  </si>
  <si>
    <t>10 kuni 19,9%</t>
  </si>
  <si>
    <t xml:space="preserve"> -10 k -20%</t>
  </si>
  <si>
    <r>
      <t xml:space="preserve">2025. aastal kaetakse inimese sissetuleku ja eelmise aasta (2024) teise kvartali keskmise pensioni – </t>
    </r>
    <r>
      <rPr>
        <b/>
        <sz val="11"/>
        <color theme="1"/>
        <rFont val="Times New Roman"/>
        <family val="1"/>
        <charset val="186"/>
      </rPr>
      <t>781,7 eurot – vahe</t>
    </r>
    <r>
      <rPr>
        <sz val="11"/>
        <color theme="1"/>
        <rFont val="Times New Roman"/>
        <family val="1"/>
        <charset val="186"/>
      </rPr>
      <t xml:space="preserve">. </t>
    </r>
  </si>
  <si>
    <t>ei kehtesta PIM</t>
  </si>
  <si>
    <r>
      <t xml:space="preserve">2023. aastal kaeti inimese sissetuleku ja aasta keskmise vanaduspensioni, 2023. aastal – </t>
    </r>
    <r>
      <rPr>
        <b/>
        <sz val="11"/>
        <color theme="1"/>
        <rFont val="Times New Roman"/>
        <family val="1"/>
        <charset val="186"/>
      </rPr>
      <t>636 eurot – vahe.</t>
    </r>
    <r>
      <rPr>
        <sz val="11"/>
        <color theme="1"/>
        <rFont val="Times New Roman"/>
        <family val="1"/>
        <charset val="186"/>
      </rPr>
      <t xml:space="preserve"> </t>
    </r>
  </si>
  <si>
    <t xml:space="preserve">Kui inimese sissetulek oli 2023. aastal keskmisest vanaduspensionist madalam (2023. aastal alla 636 euro), </t>
  </si>
  <si>
    <t>hüvitas kohalik omavalitsus puudujääva osa kuni inimese sissetuleku ja keskmise vanaduspensioni vaheni.</t>
  </si>
  <si>
    <t xml:space="preserve">*Andmed, üldhoolduse (ÜLH) hoolduskulude piirmäärad: SKA andmed, KOV-de andmete baasil; Sotsiaalkindlustusamet, </t>
  </si>
  <si>
    <t xml:space="preserve">KOV tugiteenistus; www.ska.ee </t>
  </si>
  <si>
    <t xml:space="preserve">Sotsiaalkindlustusamet, SKA; https://www.sotsiaalkindlustusamet.ee/ </t>
  </si>
  <si>
    <t xml:space="preserve">Sótsiaalministeerium, SOM;  www.sm.ee; SOM,https://www.sm.ee/hooldereform; </t>
  </si>
  <si>
    <t xml:space="preserve">*Andmed, keskmine vanaduspemsion, 2023: kasutati ja kasutatakse 2023. aasta hooldereformi kulude kompenseerimise arvutustes;  </t>
  </si>
  <si>
    <t xml:space="preserve">*Andmed, keskmine pemsion, eelmise aasta II kvartali kekmine pension; 2023 ja 2024; kasutatakse hooldereformi ja üldhoolduse </t>
  </si>
  <si>
    <t>piirmäär kehtestamata, ei kehtesta´[1]</t>
  </si>
  <si>
    <t>piirmäär 0 - 500 (500 ja alla) [15]</t>
  </si>
  <si>
    <t>piirmäär 501 - 600 (tegelikkuses 520 - 600) [28]</t>
  </si>
  <si>
    <t>piirmäär 601 - 700 (tegelikkuses 620 - 700) [32]</t>
  </si>
  <si>
    <t>piirmäär üle 701 [3]</t>
  </si>
  <si>
    <t>ÜLH hoolduskulude (HOLK) piirmäär on alla 500 euro</t>
  </si>
  <si>
    <t>01.07 värvid</t>
  </si>
  <si>
    <t>2923 kvan pens</t>
  </si>
  <si>
    <t xml:space="preserve">kompenseeritavate kulude arvutustes; Maksu- ja tolliamet, MTA, www.emta,ee, Eesti Statistika, www.stat.ee </t>
  </si>
  <si>
    <t>Keskmine 01.07.2024, SKA arvutustes</t>
  </si>
  <si>
    <t xml:space="preserve">KOV hooldus- </t>
  </si>
  <si>
    <t>kulude piirmäär</t>
  </si>
  <si>
    <t>(PIM) 2023 III kv</t>
  </si>
  <si>
    <t>mine koha-</t>
  </si>
  <si>
    <t>maksumus</t>
  </si>
  <si>
    <t xml:space="preserve">Üldhoolduse kulud ja teenused 2022-2024, tabelid; Regionaal- ja põllumajandusministeerium, KOV osakond; </t>
  </si>
  <si>
    <t xml:space="preserve">KOV osakonna nõunik Andrus Jügi; www.agri.ee </t>
  </si>
  <si>
    <t>kodus 2023 08</t>
  </si>
  <si>
    <t>sion hoolde-</t>
  </si>
  <si>
    <t>(PIM) võrrelduna keskmise pensioni suhtes, %</t>
  </si>
  <si>
    <t xml:space="preserve">ÜLH hoolduskulude (HOOK) piirmäärad </t>
  </si>
  <si>
    <t>keskmmine</t>
  </si>
  <si>
    <t xml:space="preserve"> hoolduskulu</t>
  </si>
  <si>
    <t>Piirkonna-</t>
  </si>
  <si>
    <t>Piirkonna kesk-</t>
  </si>
  <si>
    <t>Keskmine pen-</t>
  </si>
  <si>
    <t xml:space="preserve">KOV PIM </t>
  </si>
  <si>
    <t xml:space="preserve"> versus hool- </t>
  </si>
  <si>
    <t>duskulu 2023</t>
  </si>
  <si>
    <t>0,90 kuni 0,94</t>
  </si>
  <si>
    <t>0,95 kuni 0.99</t>
  </si>
  <si>
    <t>1,00 kuni 1,04</t>
  </si>
  <si>
    <t>1,05 kuni 1,09</t>
  </si>
  <si>
    <t>0,80 kuni 0,89</t>
  </si>
  <si>
    <t>alla 0,79</t>
  </si>
  <si>
    <t>rohkem, 100 kuni 104,9%</t>
  </si>
  <si>
    <t>rohkem, 105 kuni 109,9%</t>
  </si>
  <si>
    <t>rohkem, 110 kuni 119,9%</t>
  </si>
  <si>
    <t>rohkem, üle 120%</t>
  </si>
  <si>
    <t>rohkem, 0 kuni 4,9%</t>
  </si>
  <si>
    <t>rohkem, 5 kuni 9,9%</t>
  </si>
  <si>
    <t>rohkem, üle 20%</t>
  </si>
  <si>
    <t xml:space="preserve">**KOV hoolduskulude PIM versus keskmine hoolduskulu 2023; indeks; </t>
  </si>
  <si>
    <t>**KOV hoolsuakulusw piiemäär, 01.07.2024, piirmäärade grupid:</t>
  </si>
  <si>
    <t>1,10 kuni 1,19</t>
  </si>
  <si>
    <t>üle 1,20</t>
  </si>
  <si>
    <t xml:space="preserve">Sotsiaalkindlustusameti, SKA vahendusel; KOV-de, hooldekodude andmed; Üldhoolduse kulud ja teenused 2022-2024, tabelid; </t>
  </si>
  <si>
    <t xml:space="preserve">Regionaal- ja põllumajandusministeerium, kohalike omavalitsuste osakond; KOV osakonna nõunik Andrus Jügi; https://www.agri.ee/ </t>
  </si>
  <si>
    <t>Sotsiaalkindlustusameti, SKA vahendusel; KOV-de, hooldekodude andmed; https://www.sotsiaalkindlustusamet.ee/</t>
  </si>
  <si>
    <t>rohkem, 0 kuni 9%</t>
  </si>
  <si>
    <t>rohkem, 10 kuni 19%</t>
  </si>
  <si>
    <t>rohkem, 20 kuni 29%</t>
  </si>
  <si>
    <t>***Pikajaline hooldus (PIH) - hooldus väljaspool kodu, üldhooldus (ÜLH) ja kodus, koduhooldus (KOH)</t>
  </si>
  <si>
    <t>Üldhooldusteenusel (ÜLHT), hooldekodudes (HOK) viibijate arvu muutus 1.03. 2024 versus 2023, võrrelduna Eesti keskmisega, KOV-de lõikes:</t>
  </si>
  <si>
    <t>**ÜLHT, HOK viibivate isikute, viibijate arvu muutus; võrdluses, võrreldes Eesti keskmise muutuse %,-ga</t>
  </si>
  <si>
    <t>rohkem, 100 kuni 109%</t>
  </si>
  <si>
    <t>rohkem, 110 kuni 119%</t>
  </si>
  <si>
    <t>rohkem, 120 kuni 129%</t>
  </si>
  <si>
    <t>vähem, 89 kuni 80%</t>
  </si>
  <si>
    <t>vähem, 79 kuni 70%</t>
  </si>
  <si>
    <t>rohkem, 130 ja üle 130%</t>
  </si>
  <si>
    <t>vähem, 99 kuni 90%</t>
  </si>
  <si>
    <t>(unikaalselt)</t>
  </si>
  <si>
    <t xml:space="preserve">KOKKU </t>
  </si>
  <si>
    <t>ARVEEIVÕE</t>
  </si>
  <si>
    <t>ARVE EIVÕE</t>
  </si>
  <si>
    <t>** Elanike arvu ja demograafilise struktuuri (65+) muutus 2024 versus 2018 %-des, vahemikud</t>
  </si>
  <si>
    <t>15.07.2024; täiendatud 27.08.2024; ELVL</t>
  </si>
  <si>
    <t xml:space="preserve">** Rahvastiku demograafilise struktuur - vanusegrupid 65+ ja sh 85+ - %-des, võtdluses, võrreldes Eesti keskmine % </t>
  </si>
  <si>
    <t>rohkem, 120 kuni 129,9%</t>
  </si>
  <si>
    <t>rohkem, üle 130%</t>
  </si>
  <si>
    <t>110-119,9%</t>
  </si>
  <si>
    <t>100-109,9%</t>
  </si>
  <si>
    <t>120-129,9%</t>
  </si>
  <si>
    <t>üle 130 %</t>
  </si>
  <si>
    <t>alla 69,9 %</t>
  </si>
  <si>
    <t xml:space="preserve">*Andmed, PIH lisavahendid, riigi osalus, riiklik rahastus, 2024: Tasandus- ja Toetusfond 2024, koond, tabelid, 01.2024; </t>
  </si>
  <si>
    <t xml:space="preserve">*Andmed, PIH riiklik toetus, riigi osalus, riiklik rahastus, 2023: Tasandus- ja Toetusfond 2023, koond, tabelid, 12.2023; </t>
  </si>
  <si>
    <t>22 KEIOLE</t>
  </si>
  <si>
    <t xml:space="preserve">**KOV-de pikaajalise hoolduse (PIH) üldhoolduse (ÜLH) 2023. aasta II poolaasta kuludes kajastuvad nii KOV-de omaosalus, omapanus </t>
  </si>
  <si>
    <t>***Pikaajalise hoolduse (PIH) üldhoolduse (ÜLH) kulud KOV-des ja Eesti kokku 2022 ja 2023 on toodud nii kuludena koos</t>
  </si>
  <si>
    <t xml:space="preserve">põhivara soetuse kuludega kui ka ilma nendeta, millised ei kajasta põhivara soetuse kulusid, on seega üldhoolduse (ÜLH) hoolduskulud </t>
  </si>
  <si>
    <t>vähem, 69 ja alla 69%</t>
  </si>
  <si>
    <t>**ÜLHT, HOK viibivate isikute, viibijate arv, muutus perioodide lõikes, võrdluses %-des</t>
  </si>
  <si>
    <t xml:space="preserve">saldoaandmike infosüsteem, Riigi Tugiteenuste Keskus, https://saldo.rtk.ee/saldo-app/; Üldhoolduse kulud ja teenused 2022-2024, tabelid; </t>
  </si>
  <si>
    <t>*Andmed, (pikaajalise hoolduse (PIH)) üldhoolduse (ÜLH) kulud KOV-des 2022 ja 2023, II poolaasta: KOV-de andmed</t>
  </si>
  <si>
    <t xml:space="preserve">Regionaal- ja põllumajandusministeerium, kohalike omavalitsuste osakond; KOV osakonna nõunik Andrus Jõgi; https://www.agri.ee/ </t>
  </si>
  <si>
    <t xml:space="preserve">*Andmed, (pikaajalise hoolduse (PIH)) üldhoolduse (ÜLH) kulud KOV-des: 2022 ja 2023: KOV raanatupidamise konto 10200; </t>
  </si>
  <si>
    <t xml:space="preserve">** Elanike arvu ja demograafilise struktuuri (65+) muutus 2024 versus 2018 %-des, võrdluses, võrreldes Eesti keskmine % </t>
  </si>
  <si>
    <t xml:space="preserve">** Rahvastiku demograafilise struktuur - vanusegrupid 65+ ja sh 85+ - %-des, võrdluses, võrreldes Eesti keskmine % </t>
  </si>
  <si>
    <t>*Koostas: ELVL analüütik ja eksoert Helmut Hallemaa</t>
  </si>
  <si>
    <t xml:space="preserve">Rahandusministeerium (RAM), https://www.fin.ee/; Regionaal- ja põllumajandusministeerium (RPM); https://www.agri.ee/ </t>
  </si>
  <si>
    <t xml:space="preserve">Tasandus- ja toetusfond 2024, koond, tabelid, 01.2024; Regionaal- ja põllumajandusministeerium; https://www.agri.ee/ </t>
  </si>
  <si>
    <t xml:space="preserve">Rahandusministeerium; https://www.fin.ee/finantskorraldus#tasandus-ja-toetusf; https://www.fin.ee/ </t>
  </si>
  <si>
    <t>*Andmed, riikliku penisonitulu prognoos Eesti kokku: Regionaal- ja põllumajandusministeerium, kohalike omavalitsuste osakond,</t>
  </si>
  <si>
    <t>prognoos 2024-2028 - KOV-d; arvutused</t>
  </si>
  <si>
    <t>*Tabeli andmed, 2,5 % PTM KOV TB-s, FITM prognoosis, Eestii kokku: rahandusministeeriumi 2024. aasta kevadprognoosi põhjal;</t>
  </si>
  <si>
    <t>Regionaal- ja põllumajandusministeerium, kohalike omavalitsuste osakond; osakonna nõunik Andrus Jõgi</t>
  </si>
  <si>
    <t>osakonna nõunik Andrus Jõgi</t>
  </si>
  <si>
    <t>osakonna nõuniku Andrus Jõgi ekspertarvamus:</t>
  </si>
  <si>
    <t xml:space="preserve">**01.04.2024; lisandus; Regionaal- ja põllumajandusministeerium, kohalike omavalitsuse osakond; </t>
  </si>
  <si>
    <t>** Pikajalise hoolduse (PIH), üldhoolduse (ÜLH) KOV kulud perioodide võrdluses %, vahemikud</t>
  </si>
  <si>
    <t xml:space="preserve">** Pikajalise hoolduse (PIH), üldhoolduse (ÜLH) KOV kulud perioodide võrdluses %,, võrreldes Eesti keskmine % </t>
  </si>
  <si>
    <t>****Pikaajalise hoolduse (PIH) üldhoolduse (ÜLH) rahastuse, tulude KOV-des riikliku toetuse, riigi osaluse, riikliku rahastuse 2023 aluseks</t>
  </si>
  <si>
    <t>oli rahvaarv ja demograafiline struktuur 01.01 2023, rahvastikuregistri (RAR) andmetel: per 65-84 - 93,6 eurot ja per 85+ 449,1 eurot</t>
  </si>
  <si>
    <t>vähem, 90 kuni 99,9%</t>
  </si>
  <si>
    <t>vähem, 70 kuni 79,9%</t>
  </si>
  <si>
    <t>vähem, alla 69,9%</t>
  </si>
  <si>
    <t>*Seletuskiri:</t>
  </si>
  <si>
    <t>rohkem, 0 kuni 19,9%</t>
  </si>
  <si>
    <t>rohkem, 20 kuni 39,9%</t>
  </si>
  <si>
    <t>rohkem, 40 kuni 59,9%</t>
  </si>
  <si>
    <t>rohkem, üle 60%</t>
  </si>
  <si>
    <t>vähem, -0,1 kuni -20%</t>
  </si>
  <si>
    <t>vähem, -20,1 kuni -40%</t>
  </si>
  <si>
    <t>vähem, -40,1 kuni -60%</t>
  </si>
  <si>
    <t>vähem, alla -60,1%</t>
  </si>
  <si>
    <t xml:space="preserve">** Pikajalise hoolduse (PIH), üldhoolduse (ÜLH) KOV kogukulud perioodide võrdluses %, võrreldes Eesti keskmine % </t>
  </si>
  <si>
    <t>võrdlus 2022 versus 2023 (II poolaasta) ning 2023 versus 2022, 2024 versus 2023 ja 2024 versus 2022</t>
  </si>
  <si>
    <t>**Andmed, 2023; *(1) KOV hooldukulude piirmäär 2023 III kv; *(2) piirkonna keskmine hoolduskulu; *(3) piirkonna keskmine koha-</t>
  </si>
  <si>
    <t xml:space="preserve">tasu;  *(4) keskmine pension hooldekodus 2023 august; *(5) KOV piirmäär (PIM) versus hoolduskulu, mõõdik, indeks: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</si>
</sst>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sz val="11"/>
      <color rgb="FFFF0000"/>
      <name val="Aptos"/>
      <family val="2"/>
    </font>
    <font>
      <b/>
      <i/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u/>
      <sz val="11"/>
      <color theme="1"/>
      <name val="Times New Roman"/>
      <family val="1"/>
    </font>
    <font>
      <sz val="9"/>
      <color indexed="81"/>
      <name val="Segoe UI"/>
      <family val="2"/>
    </font>
    <font>
      <sz val="11"/>
      <color rgb="FF000000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363636"/>
      <name val="Times New Roman"/>
      <family val="1"/>
      <charset val="186"/>
    </font>
    <font>
      <b/>
      <sz val="11"/>
      <color rgb="FF36363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9"/>
      <color rgb="FF000000"/>
      <name val="Arial"/>
      <family val="2"/>
    </font>
    <font>
      <b/>
      <sz val="9"/>
      <color theme="1"/>
      <name val="Arial"/>
      <family val="2"/>
      <charset val="186"/>
    </font>
    <font>
      <b/>
      <sz val="9"/>
      <color rgb="FF363636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81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3" fontId="6" fillId="0" borderId="1" xfId="2" applyNumberFormat="1" applyFont="1" applyBorder="1"/>
    <xf numFmtId="0" fontId="6" fillId="0" borderId="0" xfId="2" applyFont="1"/>
    <xf numFmtId="0" fontId="5" fillId="0" borderId="0" xfId="2" applyFont="1"/>
    <xf numFmtId="0" fontId="6" fillId="0" borderId="10" xfId="1" applyFont="1" applyBorder="1"/>
    <xf numFmtId="3" fontId="5" fillId="0" borderId="11" xfId="2" applyNumberFormat="1" applyFont="1" applyBorder="1"/>
    <xf numFmtId="0" fontId="6" fillId="0" borderId="10" xfId="1" applyFont="1" applyBorder="1" applyAlignment="1">
      <alignment vertical="top"/>
    </xf>
    <xf numFmtId="3" fontId="5" fillId="0" borderId="15" xfId="0" applyNumberFormat="1" applyFont="1" applyBorder="1"/>
    <xf numFmtId="0" fontId="6" fillId="0" borderId="17" xfId="1" applyFont="1" applyBorder="1"/>
    <xf numFmtId="3" fontId="6" fillId="0" borderId="2" xfId="2" applyNumberFormat="1" applyFont="1" applyBorder="1"/>
    <xf numFmtId="3" fontId="5" fillId="0" borderId="18" xfId="2" applyNumberFormat="1" applyFont="1" applyBorder="1"/>
    <xf numFmtId="0" fontId="6" fillId="2" borderId="13" xfId="2" applyFont="1" applyFill="1" applyBorder="1"/>
    <xf numFmtId="3" fontId="5" fillId="0" borderId="19" xfId="0" applyNumberFormat="1" applyFont="1" applyBorder="1"/>
    <xf numFmtId="3" fontId="5" fillId="0" borderId="20" xfId="0" applyNumberFormat="1" applyFont="1" applyBorder="1"/>
    <xf numFmtId="0" fontId="6" fillId="0" borderId="28" xfId="2" applyFont="1" applyBorder="1"/>
    <xf numFmtId="3" fontId="5" fillId="0" borderId="29" xfId="2" applyNumberFormat="1" applyFont="1" applyBorder="1"/>
    <xf numFmtId="3" fontId="5" fillId="0" borderId="30" xfId="2" applyNumberFormat="1" applyFont="1" applyBorder="1"/>
    <xf numFmtId="3" fontId="5" fillId="0" borderId="31" xfId="0" applyNumberFormat="1" applyFont="1" applyBorder="1"/>
    <xf numFmtId="0" fontId="5" fillId="3" borderId="2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9" fontId="6" fillId="0" borderId="0" xfId="3" applyFont="1"/>
    <xf numFmtId="3" fontId="6" fillId="0" borderId="0" xfId="0" applyNumberFormat="1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5" fillId="0" borderId="0" xfId="0" applyNumberFormat="1" applyFont="1"/>
    <xf numFmtId="3" fontId="12" fillId="0" borderId="0" xfId="0" applyNumberFormat="1" applyFont="1"/>
    <xf numFmtId="3" fontId="11" fillId="0" borderId="0" xfId="0" applyNumberFormat="1" applyFont="1"/>
    <xf numFmtId="3" fontId="5" fillId="0" borderId="6" xfId="0" applyNumberFormat="1" applyFont="1" applyBorder="1"/>
    <xf numFmtId="0" fontId="6" fillId="0" borderId="18" xfId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5" fillId="0" borderId="34" xfId="2" applyFont="1" applyBorder="1"/>
    <xf numFmtId="0" fontId="6" fillId="0" borderId="31" xfId="2" applyFont="1" applyBorder="1"/>
    <xf numFmtId="0" fontId="13" fillId="0" borderId="0" xfId="0" applyFont="1"/>
    <xf numFmtId="0" fontId="14" fillId="0" borderId="0" xfId="0" applyFont="1"/>
    <xf numFmtId="0" fontId="6" fillId="0" borderId="1" xfId="0" applyFont="1" applyBorder="1"/>
    <xf numFmtId="0" fontId="5" fillId="0" borderId="0" xfId="0" applyFont="1" applyAlignment="1">
      <alignment horizontal="left"/>
    </xf>
    <xf numFmtId="0" fontId="5" fillId="4" borderId="0" xfId="0" applyFont="1" applyFill="1"/>
    <xf numFmtId="14" fontId="13" fillId="0" borderId="0" xfId="0" applyNumberFormat="1" applyFont="1" applyAlignment="1">
      <alignment horizontal="left"/>
    </xf>
    <xf numFmtId="3" fontId="15" fillId="0" borderId="0" xfId="0" applyNumberFormat="1" applyFont="1"/>
    <xf numFmtId="0" fontId="5" fillId="5" borderId="2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41" xfId="0" applyFont="1" applyFill="1" applyBorder="1"/>
    <xf numFmtId="0" fontId="5" fillId="7" borderId="42" xfId="0" applyFont="1" applyFill="1" applyBorder="1" applyAlignment="1">
      <alignment horizontal="center"/>
    </xf>
    <xf numFmtId="0" fontId="16" fillId="0" borderId="0" xfId="0" applyFont="1"/>
    <xf numFmtId="0" fontId="5" fillId="9" borderId="0" xfId="0" applyFont="1" applyFill="1"/>
    <xf numFmtId="0" fontId="5" fillId="7" borderId="0" xfId="0" applyFont="1" applyFill="1"/>
    <xf numFmtId="0" fontId="5" fillId="5" borderId="0" xfId="0" applyFont="1" applyFill="1"/>
    <xf numFmtId="0" fontId="6" fillId="0" borderId="0" xfId="0" applyFont="1" applyAlignment="1">
      <alignment horizontal="left"/>
    </xf>
    <xf numFmtId="0" fontId="6" fillId="3" borderId="0" xfId="0" applyFont="1" applyFill="1"/>
    <xf numFmtId="0" fontId="6" fillId="10" borderId="0" xfId="0" applyFont="1" applyFill="1"/>
    <xf numFmtId="0" fontId="6" fillId="11" borderId="0" xfId="0" applyFont="1" applyFill="1"/>
    <xf numFmtId="0" fontId="6" fillId="2" borderId="0" xfId="0" applyFont="1" applyFill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45" xfId="2" applyNumberFormat="1" applyFont="1" applyBorder="1"/>
    <xf numFmtId="3" fontId="5" fillId="0" borderId="46" xfId="2" applyNumberFormat="1" applyFont="1" applyBorder="1"/>
    <xf numFmtId="0" fontId="5" fillId="0" borderId="30" xfId="2" applyFont="1" applyBorder="1"/>
    <xf numFmtId="0" fontId="6" fillId="0" borderId="2" xfId="0" applyFont="1" applyBorder="1"/>
    <xf numFmtId="0" fontId="6" fillId="0" borderId="10" xfId="0" applyFont="1" applyBorder="1"/>
    <xf numFmtId="0" fontId="5" fillId="7" borderId="21" xfId="0" applyFont="1" applyFill="1" applyBorder="1"/>
    <xf numFmtId="0" fontId="5" fillId="7" borderId="48" xfId="0" applyFont="1" applyFill="1" applyBorder="1"/>
    <xf numFmtId="0" fontId="5" fillId="7" borderId="49" xfId="0" applyFont="1" applyFill="1" applyBorder="1"/>
    <xf numFmtId="0" fontId="5" fillId="7" borderId="19" xfId="0" applyFont="1" applyFill="1" applyBorder="1"/>
    <xf numFmtId="0" fontId="5" fillId="7" borderId="47" xfId="0" applyFont="1" applyFill="1" applyBorder="1"/>
    <xf numFmtId="0" fontId="5" fillId="7" borderId="23" xfId="0" applyFont="1" applyFill="1" applyBorder="1" applyAlignment="1">
      <alignment horizontal="center"/>
    </xf>
    <xf numFmtId="0" fontId="5" fillId="12" borderId="21" xfId="0" applyFont="1" applyFill="1" applyBorder="1"/>
    <xf numFmtId="0" fontId="5" fillId="12" borderId="48" xfId="0" applyFont="1" applyFill="1" applyBorder="1"/>
    <xf numFmtId="0" fontId="5" fillId="12" borderId="49" xfId="0" applyFont="1" applyFill="1" applyBorder="1"/>
    <xf numFmtId="0" fontId="5" fillId="12" borderId="19" xfId="0" applyFont="1" applyFill="1" applyBorder="1"/>
    <xf numFmtId="0" fontId="5" fillId="12" borderId="47" xfId="0" applyFont="1" applyFill="1" applyBorder="1"/>
    <xf numFmtId="0" fontId="5" fillId="12" borderId="41" xfId="0" applyFont="1" applyFill="1" applyBorder="1"/>
    <xf numFmtId="0" fontId="5" fillId="12" borderId="4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12" borderId="13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/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7" fillId="0" borderId="17" xfId="1" applyFont="1" applyBorder="1"/>
    <xf numFmtId="0" fontId="17" fillId="0" borderId="2" xfId="0" applyFont="1" applyBorder="1"/>
    <xf numFmtId="0" fontId="17" fillId="0" borderId="18" xfId="0" applyFont="1" applyBorder="1"/>
    <xf numFmtId="0" fontId="17" fillId="0" borderId="10" xfId="1" applyFont="1" applyBorder="1"/>
    <xf numFmtId="0" fontId="17" fillId="0" borderId="10" xfId="1" applyFont="1" applyBorder="1" applyAlignment="1">
      <alignment vertical="top"/>
    </xf>
    <xf numFmtId="0" fontId="17" fillId="0" borderId="0" xfId="2" applyFont="1"/>
    <xf numFmtId="0" fontId="21" fillId="0" borderId="0" xfId="0" applyFont="1"/>
    <xf numFmtId="0" fontId="19" fillId="0" borderId="0" xfId="2" applyFont="1"/>
    <xf numFmtId="0" fontId="22" fillId="0" borderId="6" xfId="0" applyFont="1" applyBorder="1" applyAlignment="1">
      <alignment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right" vertical="center"/>
    </xf>
    <xf numFmtId="3" fontId="22" fillId="4" borderId="9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9" fontId="22" fillId="0" borderId="0" xfId="0" applyNumberFormat="1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9" fontId="22" fillId="0" borderId="1" xfId="0" applyNumberFormat="1" applyFont="1" applyBorder="1" applyAlignment="1">
      <alignment horizontal="right" vertical="center"/>
    </xf>
    <xf numFmtId="0" fontId="24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3" fillId="6" borderId="15" xfId="0" applyFont="1" applyFill="1" applyBorder="1" applyAlignment="1">
      <alignment vertical="center"/>
    </xf>
    <xf numFmtId="3" fontId="22" fillId="4" borderId="2" xfId="0" applyNumberFormat="1" applyFont="1" applyFill="1" applyBorder="1" applyAlignment="1">
      <alignment horizontal="right" vertical="center"/>
    </xf>
    <xf numFmtId="3" fontId="22" fillId="4" borderId="18" xfId="0" applyNumberFormat="1" applyFont="1" applyFill="1" applyBorder="1" applyAlignment="1">
      <alignment horizontal="right" vertical="center"/>
    </xf>
    <xf numFmtId="0" fontId="22" fillId="0" borderId="38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3" fontId="5" fillId="0" borderId="0" xfId="2" applyNumberFormat="1" applyFont="1"/>
    <xf numFmtId="3" fontId="6" fillId="0" borderId="0" xfId="2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14" fontId="8" fillId="0" borderId="0" xfId="0" applyNumberFormat="1" applyFont="1"/>
    <xf numFmtId="0" fontId="6" fillId="0" borderId="19" xfId="1" applyFont="1" applyBorder="1"/>
    <xf numFmtId="0" fontId="6" fillId="0" borderId="20" xfId="1" applyFont="1" applyBorder="1"/>
    <xf numFmtId="0" fontId="6" fillId="0" borderId="20" xfId="1" applyFont="1" applyBorder="1" applyAlignment="1">
      <alignment vertical="top"/>
    </xf>
    <xf numFmtId="0" fontId="6" fillId="0" borderId="27" xfId="1" applyFont="1" applyBorder="1"/>
    <xf numFmtId="0" fontId="6" fillId="0" borderId="15" xfId="1" applyFont="1" applyBorder="1" applyAlignment="1">
      <alignment wrapText="1"/>
    </xf>
    <xf numFmtId="0" fontId="6" fillId="0" borderId="16" xfId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5" fillId="0" borderId="6" xfId="2" applyFont="1" applyBorder="1"/>
    <xf numFmtId="0" fontId="17" fillId="0" borderId="24" xfId="1" applyFont="1" applyBorder="1"/>
    <xf numFmtId="0" fontId="5" fillId="0" borderId="29" xfId="0" applyFont="1" applyBorder="1"/>
    <xf numFmtId="0" fontId="5" fillId="0" borderId="30" xfId="0" applyFont="1" applyBorder="1"/>
    <xf numFmtId="0" fontId="17" fillId="0" borderId="36" xfId="0" applyFont="1" applyBorder="1"/>
    <xf numFmtId="0" fontId="19" fillId="0" borderId="39" xfId="0" applyFont="1" applyBorder="1" applyAlignment="1">
      <alignment horizontal="center"/>
    </xf>
    <xf numFmtId="0" fontId="17" fillId="0" borderId="18" xfId="1" applyFont="1" applyBorder="1" applyAlignment="1">
      <alignment wrapText="1"/>
    </xf>
    <xf numFmtId="0" fontId="17" fillId="0" borderId="11" xfId="1" applyFont="1" applyBorder="1" applyAlignment="1">
      <alignment wrapText="1"/>
    </xf>
    <xf numFmtId="0" fontId="17" fillId="0" borderId="26" xfId="1" applyFont="1" applyBorder="1" applyAlignment="1">
      <alignment wrapText="1"/>
    </xf>
    <xf numFmtId="0" fontId="5" fillId="0" borderId="6" xfId="1" applyFont="1" applyBorder="1" applyAlignment="1">
      <alignment wrapText="1"/>
    </xf>
    <xf numFmtId="3" fontId="6" fillId="0" borderId="54" xfId="2" applyNumberFormat="1" applyFont="1" applyBorder="1"/>
    <xf numFmtId="3" fontId="6" fillId="0" borderId="55" xfId="2" applyNumberFormat="1" applyFont="1" applyBorder="1"/>
    <xf numFmtId="3" fontId="6" fillId="0" borderId="56" xfId="2" applyNumberFormat="1" applyFont="1" applyBorder="1"/>
    <xf numFmtId="3" fontId="5" fillId="0" borderId="51" xfId="0" applyNumberFormat="1" applyFont="1" applyBorder="1"/>
    <xf numFmtId="0" fontId="5" fillId="0" borderId="31" xfId="1" applyFont="1" applyBorder="1"/>
    <xf numFmtId="3" fontId="5" fillId="0" borderId="57" xfId="0" applyNumberFormat="1" applyFont="1" applyBorder="1"/>
    <xf numFmtId="3" fontId="21" fillId="0" borderId="0" xfId="0" applyNumberFormat="1" applyFont="1"/>
    <xf numFmtId="0" fontId="23" fillId="6" borderId="52" xfId="0" applyFont="1" applyFill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6" fillId="0" borderId="59" xfId="0" applyFont="1" applyBorder="1"/>
    <xf numFmtId="0" fontId="5" fillId="0" borderId="0" xfId="1" applyFont="1"/>
    <xf numFmtId="0" fontId="5" fillId="0" borderId="0" xfId="1" applyFont="1" applyAlignment="1">
      <alignment wrapText="1"/>
    </xf>
    <xf numFmtId="0" fontId="17" fillId="0" borderId="58" xfId="0" applyFont="1" applyBorder="1"/>
    <xf numFmtId="0" fontId="5" fillId="0" borderId="18" xfId="0" applyFont="1" applyBorder="1"/>
    <xf numFmtId="3" fontId="5" fillId="0" borderId="3" xfId="0" applyNumberFormat="1" applyFont="1" applyBorder="1"/>
    <xf numFmtId="0" fontId="17" fillId="0" borderId="43" xfId="0" applyFont="1" applyBorder="1"/>
    <xf numFmtId="0" fontId="17" fillId="0" borderId="33" xfId="0" applyFont="1" applyBorder="1"/>
    <xf numFmtId="3" fontId="5" fillId="0" borderId="28" xfId="0" applyNumberFormat="1" applyFont="1" applyBorder="1"/>
    <xf numFmtId="0" fontId="5" fillId="0" borderId="11" xfId="0" applyFont="1" applyBorder="1"/>
    <xf numFmtId="0" fontId="5" fillId="0" borderId="26" xfId="0" applyFont="1" applyBorder="1"/>
    <xf numFmtId="0" fontId="8" fillId="0" borderId="21" xfId="0" applyFont="1" applyBorder="1" applyAlignment="1">
      <alignment horizontal="left"/>
    </xf>
    <xf numFmtId="0" fontId="8" fillId="0" borderId="48" xfId="0" applyFont="1" applyBorder="1"/>
    <xf numFmtId="0" fontId="6" fillId="0" borderId="48" xfId="0" applyFont="1" applyBorder="1"/>
    <xf numFmtId="0" fontId="5" fillId="0" borderId="48" xfId="0" applyFont="1" applyBorder="1"/>
    <xf numFmtId="0" fontId="5" fillId="0" borderId="49" xfId="0" applyFont="1" applyBorder="1"/>
    <xf numFmtId="14" fontId="8" fillId="0" borderId="22" xfId="0" applyNumberFormat="1" applyFont="1" applyBorder="1"/>
    <xf numFmtId="0" fontId="5" fillId="0" borderId="50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0" borderId="12" xfId="0" applyFont="1" applyBorder="1"/>
    <xf numFmtId="0" fontId="26" fillId="0" borderId="0" xfId="0" applyFont="1" applyAlignment="1">
      <alignment vertical="center"/>
    </xf>
    <xf numFmtId="9" fontId="6" fillId="0" borderId="47" xfId="3" applyFont="1" applyBorder="1"/>
    <xf numFmtId="0" fontId="5" fillId="12" borderId="31" xfId="0" applyFont="1" applyFill="1" applyBorder="1" applyAlignment="1">
      <alignment horizontal="center"/>
    </xf>
    <xf numFmtId="0" fontId="5" fillId="0" borderId="28" xfId="0" applyFont="1" applyBorder="1"/>
    <xf numFmtId="0" fontId="8" fillId="4" borderId="7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9" xfId="0" applyFont="1" applyFill="1" applyBorder="1"/>
    <xf numFmtId="14" fontId="8" fillId="4" borderId="1" xfId="0" applyNumberFormat="1" applyFont="1" applyFill="1" applyBorder="1"/>
    <xf numFmtId="14" fontId="8" fillId="4" borderId="11" xfId="0" applyNumberFormat="1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8" fillId="5" borderId="21" xfId="0" applyFont="1" applyFill="1" applyBorder="1" applyAlignment="1">
      <alignment horizontal="left"/>
    </xf>
    <xf numFmtId="0" fontId="8" fillId="5" borderId="48" xfId="0" applyFont="1" applyFill="1" applyBorder="1" applyAlignment="1">
      <alignment horizontal="left"/>
    </xf>
    <xf numFmtId="0" fontId="8" fillId="5" borderId="49" xfId="0" applyFont="1" applyFill="1" applyBorder="1"/>
    <xf numFmtId="0" fontId="5" fillId="0" borderId="17" xfId="0" applyFont="1" applyBorder="1"/>
    <xf numFmtId="0" fontId="5" fillId="0" borderId="10" xfId="0" applyFont="1" applyBorder="1"/>
    <xf numFmtId="0" fontId="5" fillId="0" borderId="7" xfId="0" applyFont="1" applyBorder="1"/>
    <xf numFmtId="9" fontId="5" fillId="0" borderId="9" xfId="3" applyFont="1" applyBorder="1"/>
    <xf numFmtId="0" fontId="5" fillId="5" borderId="21" xfId="0" applyFont="1" applyFill="1" applyBorder="1"/>
    <xf numFmtId="0" fontId="5" fillId="5" borderId="49" xfId="0" applyFont="1" applyFill="1" applyBorder="1"/>
    <xf numFmtId="0" fontId="5" fillId="5" borderId="22" xfId="0" applyFont="1" applyFill="1" applyBorder="1"/>
    <xf numFmtId="0" fontId="5" fillId="5" borderId="50" xfId="0" applyFont="1" applyFill="1" applyBorder="1"/>
    <xf numFmtId="0" fontId="5" fillId="5" borderId="5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9" fontId="5" fillId="0" borderId="30" xfId="3" applyFont="1" applyBorder="1"/>
    <xf numFmtId="3" fontId="5" fillId="0" borderId="11" xfId="0" applyNumberFormat="1" applyFont="1" applyBorder="1"/>
    <xf numFmtId="3" fontId="5" fillId="0" borderId="10" xfId="0" applyNumberFormat="1" applyFont="1" applyBorder="1"/>
    <xf numFmtId="0" fontId="5" fillId="10" borderId="21" xfId="0" applyFont="1" applyFill="1" applyBorder="1"/>
    <xf numFmtId="0" fontId="5" fillId="10" borderId="49" xfId="0" applyFont="1" applyFill="1" applyBorder="1"/>
    <xf numFmtId="0" fontId="5" fillId="10" borderId="22" xfId="0" applyFont="1" applyFill="1" applyBorder="1"/>
    <xf numFmtId="0" fontId="5" fillId="10" borderId="50" xfId="0" applyFont="1" applyFill="1" applyBorder="1"/>
    <xf numFmtId="0" fontId="5" fillId="10" borderId="53" xfId="0" applyFont="1" applyFill="1" applyBorder="1"/>
    <xf numFmtId="0" fontId="5" fillId="10" borderId="14" xfId="0" applyFont="1" applyFill="1" applyBorder="1"/>
    <xf numFmtId="0" fontId="5" fillId="4" borderId="21" xfId="0" applyFont="1" applyFill="1" applyBorder="1"/>
    <xf numFmtId="0" fontId="5" fillId="4" borderId="49" xfId="0" applyFont="1" applyFill="1" applyBorder="1"/>
    <xf numFmtId="0" fontId="5" fillId="4" borderId="22" xfId="0" applyFont="1" applyFill="1" applyBorder="1"/>
    <xf numFmtId="0" fontId="5" fillId="4" borderId="1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3" borderId="22" xfId="0" applyFont="1" applyFill="1" applyBorder="1"/>
    <xf numFmtId="0" fontId="5" fillId="3" borderId="50" xfId="0" applyFont="1" applyFill="1" applyBorder="1"/>
    <xf numFmtId="3" fontId="5" fillId="0" borderId="30" xfId="0" applyNumberFormat="1" applyFont="1" applyBorder="1"/>
    <xf numFmtId="16" fontId="5" fillId="0" borderId="22" xfId="0" applyNumberFormat="1" applyFont="1" applyBorder="1" applyAlignment="1">
      <alignment horizontal="right"/>
    </xf>
    <xf numFmtId="3" fontId="5" fillId="0" borderId="18" xfId="0" applyNumberFormat="1" applyFont="1" applyBorder="1"/>
    <xf numFmtId="3" fontId="5" fillId="0" borderId="17" xfId="0" applyNumberFormat="1" applyFont="1" applyBorder="1"/>
    <xf numFmtId="3" fontId="5" fillId="0" borderId="26" xfId="0" applyNumberFormat="1" applyFont="1" applyBorder="1"/>
    <xf numFmtId="3" fontId="5" fillId="0" borderId="24" xfId="0" applyNumberFormat="1" applyFont="1" applyBorder="1"/>
    <xf numFmtId="3" fontId="5" fillId="0" borderId="12" xfId="0" applyNumberFormat="1" applyFont="1" applyBorder="1"/>
    <xf numFmtId="3" fontId="5" fillId="0" borderId="5" xfId="0" applyNumberFormat="1" applyFont="1" applyBorder="1"/>
    <xf numFmtId="0" fontId="20" fillId="0" borderId="0" xfId="1" applyFont="1" applyAlignment="1">
      <alignment horizontal="center" wrapText="1"/>
    </xf>
    <xf numFmtId="0" fontId="5" fillId="0" borderId="63" xfId="0" applyFont="1" applyBorder="1"/>
    <xf numFmtId="0" fontId="20" fillId="0" borderId="23" xfId="1" applyFont="1" applyBorder="1" applyAlignment="1">
      <alignment horizontal="center" wrapText="1"/>
    </xf>
    <xf numFmtId="0" fontId="17" fillId="0" borderId="0" xfId="1" applyFont="1" applyAlignment="1">
      <alignment wrapText="1"/>
    </xf>
    <xf numFmtId="3" fontId="5" fillId="0" borderId="29" xfId="0" applyNumberFormat="1" applyFont="1" applyBorder="1"/>
    <xf numFmtId="0" fontId="6" fillId="5" borderId="60" xfId="1" applyFont="1" applyFill="1" applyBorder="1"/>
    <xf numFmtId="0" fontId="6" fillId="5" borderId="33" xfId="1" applyFont="1" applyFill="1" applyBorder="1" applyAlignment="1">
      <alignment wrapText="1"/>
    </xf>
    <xf numFmtId="0" fontId="5" fillId="0" borderId="47" xfId="0" applyFont="1" applyBorder="1"/>
    <xf numFmtId="14" fontId="8" fillId="0" borderId="24" xfId="0" applyNumberFormat="1" applyFont="1" applyBorder="1"/>
    <xf numFmtId="17" fontId="8" fillId="0" borderId="25" xfId="0" applyNumberFormat="1" applyFont="1" applyBorder="1"/>
    <xf numFmtId="14" fontId="5" fillId="0" borderId="25" xfId="0" applyNumberFormat="1" applyFont="1" applyBorder="1" applyAlignment="1">
      <alignment horizontal="center"/>
    </xf>
    <xf numFmtId="14" fontId="5" fillId="0" borderId="56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68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" fontId="6" fillId="0" borderId="55" xfId="0" applyNumberFormat="1" applyFont="1" applyBorder="1" applyAlignment="1">
      <alignment horizontal="center"/>
    </xf>
    <xf numFmtId="0" fontId="6" fillId="13" borderId="10" xfId="0" applyFont="1" applyFill="1" applyBorder="1" applyAlignment="1">
      <alignment horizontal="center"/>
    </xf>
    <xf numFmtId="1" fontId="6" fillId="14" borderId="55" xfId="0" applyNumberFormat="1" applyFont="1" applyFill="1" applyBorder="1" applyAlignment="1">
      <alignment horizontal="center"/>
    </xf>
    <xf numFmtId="1" fontId="6" fillId="15" borderId="55" xfId="0" applyNumberFormat="1" applyFont="1" applyFill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1" fontId="5" fillId="0" borderId="57" xfId="0" applyNumberFormat="1" applyFont="1" applyBorder="1" applyAlignment="1">
      <alignment horizontal="center"/>
    </xf>
    <xf numFmtId="0" fontId="6" fillId="5" borderId="50" xfId="0" applyFont="1" applyFill="1" applyBorder="1"/>
    <xf numFmtId="3" fontId="5" fillId="0" borderId="46" xfId="0" applyNumberFormat="1" applyFont="1" applyBorder="1"/>
    <xf numFmtId="14" fontId="5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3" borderId="23" xfId="0" applyFont="1" applyFill="1" applyBorder="1"/>
    <xf numFmtId="9" fontId="5" fillId="0" borderId="11" xfId="3" applyFont="1" applyBorder="1"/>
    <xf numFmtId="9" fontId="5" fillId="0" borderId="11" xfId="3" applyFont="1" applyBorder="1" applyAlignment="1">
      <alignment horizontal="right"/>
    </xf>
    <xf numFmtId="9" fontId="5" fillId="0" borderId="14" xfId="3" applyFont="1" applyBorder="1"/>
    <xf numFmtId="3" fontId="5" fillId="0" borderId="14" xfId="0" applyNumberFormat="1" applyFont="1" applyBorder="1"/>
    <xf numFmtId="0" fontId="5" fillId="3" borderId="52" xfId="0" applyFont="1" applyFill="1" applyBorder="1"/>
    <xf numFmtId="0" fontId="5" fillId="3" borderId="62" xfId="0" applyFont="1" applyFill="1" applyBorder="1"/>
    <xf numFmtId="0" fontId="5" fillId="3" borderId="61" xfId="0" applyFont="1" applyFill="1" applyBorder="1"/>
    <xf numFmtId="3" fontId="5" fillId="0" borderId="60" xfId="0" applyNumberFormat="1" applyFont="1" applyBorder="1"/>
    <xf numFmtId="3" fontId="6" fillId="0" borderId="1" xfId="0" applyNumberFormat="1" applyFont="1" applyBorder="1"/>
    <xf numFmtId="3" fontId="6" fillId="0" borderId="17" xfId="0" applyNumberFormat="1" applyFont="1" applyBorder="1"/>
    <xf numFmtId="0" fontId="6" fillId="5" borderId="1" xfId="0" applyFont="1" applyFill="1" applyBorder="1"/>
    <xf numFmtId="9" fontId="5" fillId="0" borderId="47" xfId="3" applyFont="1" applyBorder="1"/>
    <xf numFmtId="9" fontId="5" fillId="0" borderId="64" xfId="3" applyFont="1" applyBorder="1"/>
    <xf numFmtId="3" fontId="6" fillId="0" borderId="60" xfId="0" applyNumberFormat="1" applyFont="1" applyBorder="1"/>
    <xf numFmtId="3" fontId="6" fillId="0" borderId="4" xfId="0" applyNumberFormat="1" applyFont="1" applyBorder="1"/>
    <xf numFmtId="0" fontId="6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27" fillId="0" borderId="0" xfId="0" applyFont="1"/>
    <xf numFmtId="0" fontId="5" fillId="0" borderId="23" xfId="0" applyFont="1" applyBorder="1"/>
    <xf numFmtId="0" fontId="5" fillId="0" borderId="0" xfId="0" applyFont="1" applyAlignment="1">
      <alignment horizontal="right"/>
    </xf>
    <xf numFmtId="0" fontId="5" fillId="0" borderId="69" xfId="0" applyFont="1" applyBorder="1"/>
    <xf numFmtId="0" fontId="5" fillId="0" borderId="56" xfId="0" applyFont="1" applyBorder="1"/>
    <xf numFmtId="0" fontId="5" fillId="0" borderId="27" xfId="0" applyFont="1" applyBorder="1"/>
    <xf numFmtId="0" fontId="5" fillId="0" borderId="42" xfId="0" applyFont="1" applyBorder="1"/>
    <xf numFmtId="0" fontId="30" fillId="0" borderId="0" xfId="0" applyFont="1"/>
    <xf numFmtId="3" fontId="5" fillId="0" borderId="34" xfId="0" applyNumberFormat="1" applyFont="1" applyBorder="1"/>
    <xf numFmtId="0" fontId="5" fillId="0" borderId="6" xfId="0" applyFont="1" applyBorder="1"/>
    <xf numFmtId="0" fontId="5" fillId="7" borderId="60" xfId="0" applyFont="1" applyFill="1" applyBorder="1"/>
    <xf numFmtId="0" fontId="5" fillId="7" borderId="50" xfId="0" applyFont="1" applyFill="1" applyBorder="1" applyAlignment="1">
      <alignment horizontal="right"/>
    </xf>
    <xf numFmtId="0" fontId="5" fillId="7" borderId="12" xfId="0" applyFont="1" applyFill="1" applyBorder="1"/>
    <xf numFmtId="0" fontId="5" fillId="7" borderId="66" xfId="0" applyFont="1" applyFill="1" applyBorder="1"/>
    <xf numFmtId="0" fontId="5" fillId="12" borderId="22" xfId="0" applyFont="1" applyFill="1" applyBorder="1"/>
    <xf numFmtId="0" fontId="5" fillId="12" borderId="50" xfId="0" applyFont="1" applyFill="1" applyBorder="1"/>
    <xf numFmtId="0" fontId="5" fillId="12" borderId="12" xfId="0" applyFont="1" applyFill="1" applyBorder="1" applyAlignment="1">
      <alignment horizontal="center"/>
    </xf>
    <xf numFmtId="0" fontId="5" fillId="12" borderId="14" xfId="0" applyFont="1" applyFill="1" applyBorder="1" applyAlignment="1">
      <alignment horizontal="center"/>
    </xf>
    <xf numFmtId="0" fontId="5" fillId="0" borderId="23" xfId="0" applyFont="1" applyBorder="1" applyAlignment="1">
      <alignment horizontal="left"/>
    </xf>
    <xf numFmtId="3" fontId="5" fillId="0" borderId="41" xfId="0" applyNumberFormat="1" applyFont="1" applyBorder="1"/>
    <xf numFmtId="3" fontId="5" fillId="0" borderId="65" xfId="0" applyNumberFormat="1" applyFont="1" applyBorder="1"/>
    <xf numFmtId="3" fontId="5" fillId="0" borderId="67" xfId="0" applyNumberFormat="1" applyFont="1" applyBorder="1"/>
    <xf numFmtId="0" fontId="5" fillId="0" borderId="4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3" fontId="5" fillId="0" borderId="1" xfId="0" applyNumberFormat="1" applyFont="1" applyBorder="1"/>
    <xf numFmtId="14" fontId="8" fillId="4" borderId="10" xfId="0" applyNumberFormat="1" applyFont="1" applyFill="1" applyBorder="1"/>
    <xf numFmtId="0" fontId="8" fillId="4" borderId="12" xfId="0" applyFont="1" applyFill="1" applyBorder="1"/>
    <xf numFmtId="9" fontId="6" fillId="0" borderId="30" xfId="0" applyNumberFormat="1" applyFont="1" applyBorder="1"/>
    <xf numFmtId="9" fontId="5" fillId="0" borderId="30" xfId="0" applyNumberFormat="1" applyFont="1" applyBorder="1"/>
    <xf numFmtId="9" fontId="5" fillId="0" borderId="18" xfId="0" applyNumberFormat="1" applyFont="1" applyBorder="1"/>
    <xf numFmtId="0" fontId="8" fillId="0" borderId="21" xfId="0" applyFont="1" applyBorder="1"/>
    <xf numFmtId="0" fontId="8" fillId="0" borderId="49" xfId="0" applyFont="1" applyBorder="1"/>
    <xf numFmtId="3" fontId="5" fillId="0" borderId="2" xfId="0" applyNumberFormat="1" applyFont="1" applyBorder="1"/>
    <xf numFmtId="14" fontId="8" fillId="0" borderId="23" xfId="0" applyNumberFormat="1" applyFont="1" applyBorder="1"/>
    <xf numFmtId="14" fontId="8" fillId="0" borderId="5" xfId="0" applyNumberFormat="1" applyFont="1" applyBorder="1"/>
    <xf numFmtId="9" fontId="5" fillId="0" borderId="2" xfId="3" applyFont="1" applyFill="1" applyBorder="1" applyAlignment="1">
      <alignment horizontal="right"/>
    </xf>
    <xf numFmtId="3" fontId="6" fillId="0" borderId="2" xfId="0" applyNumberFormat="1" applyFont="1" applyBorder="1"/>
    <xf numFmtId="3" fontId="5" fillId="5" borderId="60" xfId="0" applyNumberFormat="1" applyFont="1" applyFill="1" applyBorder="1"/>
    <xf numFmtId="3" fontId="6" fillId="5" borderId="43" xfId="0" applyNumberFormat="1" applyFont="1" applyFill="1" applyBorder="1"/>
    <xf numFmtId="3" fontId="6" fillId="0" borderId="29" xfId="0" applyNumberFormat="1" applyFont="1" applyBorder="1"/>
    <xf numFmtId="9" fontId="5" fillId="0" borderId="17" xfId="3" applyFont="1" applyFill="1" applyBorder="1" applyAlignment="1">
      <alignment horizontal="right"/>
    </xf>
    <xf numFmtId="9" fontId="5" fillId="0" borderId="18" xfId="3" applyFont="1" applyFill="1" applyBorder="1" applyAlignment="1">
      <alignment horizontal="right"/>
    </xf>
    <xf numFmtId="14" fontId="5" fillId="0" borderId="53" xfId="0" applyNumberFormat="1" applyFont="1" applyBorder="1"/>
    <xf numFmtId="14" fontId="5" fillId="0" borderId="38" xfId="0" applyNumberFormat="1" applyFont="1" applyBorder="1"/>
    <xf numFmtId="9" fontId="5" fillId="0" borderId="33" xfId="0" applyNumberFormat="1" applyFont="1" applyBorder="1"/>
    <xf numFmtId="3" fontId="5" fillId="5" borderId="43" xfId="0" applyNumberFormat="1" applyFont="1" applyFill="1" applyBorder="1"/>
    <xf numFmtId="3" fontId="29" fillId="0" borderId="10" xfId="1" applyNumberFormat="1" applyFont="1" applyBorder="1" applyAlignment="1">
      <alignment horizontal="right" vertical="center"/>
    </xf>
    <xf numFmtId="3" fontId="31" fillId="0" borderId="10" xfId="1" applyNumberFormat="1" applyFont="1" applyBorder="1" applyAlignment="1">
      <alignment horizontal="right" vertical="center"/>
    </xf>
    <xf numFmtId="0" fontId="31" fillId="0" borderId="10" xfId="1" applyFont="1" applyBorder="1" applyAlignment="1">
      <alignment horizontal="right" vertical="center"/>
    </xf>
    <xf numFmtId="0" fontId="5" fillId="7" borderId="22" xfId="0" applyFont="1" applyFill="1" applyBorder="1"/>
    <xf numFmtId="3" fontId="32" fillId="0" borderId="10" xfId="1" applyNumberFormat="1" applyFont="1" applyBorder="1" applyAlignment="1">
      <alignment horizontal="right" vertical="center"/>
    </xf>
    <xf numFmtId="3" fontId="8" fillId="0" borderId="10" xfId="1" applyNumberFormat="1" applyFont="1" applyBorder="1" applyAlignment="1">
      <alignment horizontal="right" vertical="center"/>
    </xf>
    <xf numFmtId="0" fontId="32" fillId="0" borderId="10" xfId="1" applyFont="1" applyBorder="1" applyAlignment="1">
      <alignment horizontal="right" vertical="center"/>
    </xf>
    <xf numFmtId="3" fontId="5" fillId="0" borderId="27" xfId="0" applyNumberFormat="1" applyFont="1" applyBorder="1"/>
    <xf numFmtId="1" fontId="5" fillId="0" borderId="17" xfId="0" applyNumberFormat="1" applyFont="1" applyBorder="1"/>
    <xf numFmtId="1" fontId="5" fillId="0" borderId="10" xfId="0" applyNumberFormat="1" applyFont="1" applyBorder="1"/>
    <xf numFmtId="1" fontId="5" fillId="0" borderId="24" xfId="0" applyNumberFormat="1" applyFont="1" applyBorder="1"/>
    <xf numFmtId="1" fontId="5" fillId="0" borderId="28" xfId="0" applyNumberFormat="1" applyFont="1" applyBorder="1"/>
    <xf numFmtId="1" fontId="5" fillId="0" borderId="2" xfId="0" applyNumberFormat="1" applyFont="1" applyBorder="1"/>
    <xf numFmtId="1" fontId="5" fillId="0" borderId="1" xfId="0" applyNumberFormat="1" applyFont="1" applyBorder="1"/>
    <xf numFmtId="1" fontId="5" fillId="0" borderId="25" xfId="0" applyNumberFormat="1" applyFont="1" applyBorder="1"/>
    <xf numFmtId="1" fontId="5" fillId="0" borderId="29" xfId="0" applyNumberFormat="1" applyFont="1" applyBorder="1"/>
    <xf numFmtId="2" fontId="6" fillId="0" borderId="15" xfId="0" applyNumberFormat="1" applyFont="1" applyBorder="1"/>
    <xf numFmtId="2" fontId="6" fillId="0" borderId="16" xfId="0" applyNumberFormat="1" applyFont="1" applyBorder="1"/>
    <xf numFmtId="0" fontId="6" fillId="0" borderId="38" xfId="1" applyFont="1" applyBorder="1" applyAlignment="1">
      <alignment wrapText="1"/>
    </xf>
    <xf numFmtId="1" fontId="31" fillId="0" borderId="11" xfId="1" applyNumberFormat="1" applyFont="1" applyBorder="1" applyAlignment="1">
      <alignment horizontal="right" vertical="center"/>
    </xf>
    <xf numFmtId="1" fontId="29" fillId="0" borderId="11" xfId="1" applyNumberFormat="1" applyFont="1" applyBorder="1" applyAlignment="1">
      <alignment horizontal="right" vertical="center"/>
    </xf>
    <xf numFmtId="1" fontId="31" fillId="0" borderId="26" xfId="1" applyNumberFormat="1" applyFont="1" applyBorder="1" applyAlignment="1">
      <alignment horizontal="right" vertical="center"/>
    </xf>
    <xf numFmtId="1" fontId="31" fillId="0" borderId="10" xfId="1" applyNumberFormat="1" applyFont="1" applyBorder="1" applyAlignment="1">
      <alignment horizontal="right" vertical="center"/>
    </xf>
    <xf numFmtId="1" fontId="6" fillId="0" borderId="18" xfId="0" applyNumberFormat="1" applyFont="1" applyBorder="1"/>
    <xf numFmtId="1" fontId="6" fillId="0" borderId="11" xfId="0" applyNumberFormat="1" applyFont="1" applyBorder="1"/>
    <xf numFmtId="1" fontId="29" fillId="0" borderId="10" xfId="1" applyNumberFormat="1" applyFont="1" applyBorder="1" applyAlignment="1">
      <alignment horizontal="right" vertical="center"/>
    </xf>
    <xf numFmtId="1" fontId="32" fillId="0" borderId="11" xfId="1" applyNumberFormat="1" applyFont="1" applyBorder="1" applyAlignment="1">
      <alignment horizontal="right" vertical="center"/>
    </xf>
    <xf numFmtId="1" fontId="8" fillId="0" borderId="11" xfId="1" applyNumberFormat="1" applyFont="1" applyBorder="1" applyAlignment="1">
      <alignment horizontal="right" vertical="center"/>
    </xf>
    <xf numFmtId="1" fontId="32" fillId="0" borderId="26" xfId="1" applyNumberFormat="1" applyFont="1" applyBorder="1" applyAlignment="1">
      <alignment horizontal="right" vertical="center"/>
    </xf>
    <xf numFmtId="1" fontId="5" fillId="0" borderId="18" xfId="0" applyNumberFormat="1" applyFont="1" applyBorder="1"/>
    <xf numFmtId="1" fontId="5" fillId="0" borderId="33" xfId="0" applyNumberFormat="1" applyFont="1" applyBorder="1"/>
    <xf numFmtId="1" fontId="5" fillId="0" borderId="30" xfId="0" applyNumberFormat="1" applyFont="1" applyBorder="1"/>
    <xf numFmtId="1" fontId="32" fillId="0" borderId="0" xfId="1" applyNumberFormat="1" applyFont="1" applyAlignment="1">
      <alignment horizontal="right" vertical="center"/>
    </xf>
    <xf numFmtId="1" fontId="8" fillId="0" borderId="0" xfId="1" applyNumberFormat="1" applyFont="1" applyAlignment="1">
      <alignment horizontal="right" vertical="center"/>
    </xf>
    <xf numFmtId="0" fontId="5" fillId="4" borderId="48" xfId="0" applyFont="1" applyFill="1" applyBorder="1"/>
    <xf numFmtId="0" fontId="5" fillId="4" borderId="26" xfId="0" applyFont="1" applyFill="1" applyBorder="1"/>
    <xf numFmtId="0" fontId="5" fillId="3" borderId="21" xfId="0" applyFont="1" applyFill="1" applyBorder="1"/>
    <xf numFmtId="0" fontId="5" fillId="3" borderId="49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14" fontId="8" fillId="5" borderId="12" xfId="0" applyNumberFormat="1" applyFont="1" applyFill="1" applyBorder="1"/>
    <xf numFmtId="14" fontId="8" fillId="5" borderId="13" xfId="0" applyNumberFormat="1" applyFont="1" applyFill="1" applyBorder="1"/>
    <xf numFmtId="14" fontId="8" fillId="5" borderId="14" xfId="0" applyNumberFormat="1" applyFont="1" applyFill="1" applyBorder="1"/>
    <xf numFmtId="3" fontId="32" fillId="6" borderId="1" xfId="0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wrapText="1"/>
    </xf>
    <xf numFmtId="0" fontId="28" fillId="10" borderId="32" xfId="0" applyFont="1" applyFill="1" applyBorder="1" applyAlignment="1">
      <alignment horizontal="center" vertical="center" wrapText="1"/>
    </xf>
    <xf numFmtId="0" fontId="28" fillId="10" borderId="70" xfId="0" applyFont="1" applyFill="1" applyBorder="1" applyAlignment="1">
      <alignment horizontal="center" vertical="center"/>
    </xf>
    <xf numFmtId="0" fontId="6" fillId="0" borderId="37" xfId="0" applyFont="1" applyBorder="1"/>
    <xf numFmtId="0" fontId="6" fillId="5" borderId="0" xfId="0" applyFont="1" applyFill="1"/>
    <xf numFmtId="0" fontId="6" fillId="0" borderId="71" xfId="0" applyFont="1" applyBorder="1"/>
    <xf numFmtId="0" fontId="6" fillId="0" borderId="64" xfId="0" applyFont="1" applyBorder="1"/>
    <xf numFmtId="0" fontId="6" fillId="7" borderId="31" xfId="0" applyFont="1" applyFill="1" applyBorder="1"/>
    <xf numFmtId="0" fontId="28" fillId="7" borderId="46" xfId="0" applyFont="1" applyFill="1" applyBorder="1"/>
    <xf numFmtId="3" fontId="28" fillId="7" borderId="30" xfId="0" applyNumberFormat="1" applyFont="1" applyFill="1" applyBorder="1"/>
    <xf numFmtId="0" fontId="28" fillId="10" borderId="21" xfId="0" applyFont="1" applyFill="1" applyBorder="1" applyAlignment="1">
      <alignment horizontal="center" vertical="center"/>
    </xf>
    <xf numFmtId="0" fontId="6" fillId="0" borderId="60" xfId="0" applyFont="1" applyBorder="1"/>
    <xf numFmtId="3" fontId="6" fillId="0" borderId="26" xfId="0" applyNumberFormat="1" applyFont="1" applyBorder="1"/>
    <xf numFmtId="0" fontId="6" fillId="0" borderId="24" xfId="0" applyFont="1" applyBorder="1"/>
    <xf numFmtId="0" fontId="6" fillId="5" borderId="22" xfId="0" applyFont="1" applyFill="1" applyBorder="1"/>
    <xf numFmtId="0" fontId="5" fillId="0" borderId="11" xfId="1" applyFont="1" applyBorder="1" applyAlignment="1">
      <alignment wrapText="1"/>
    </xf>
    <xf numFmtId="3" fontId="5" fillId="5" borderId="24" xfId="0" applyNumberFormat="1" applyFont="1" applyFill="1" applyBorder="1"/>
    <xf numFmtId="3" fontId="5" fillId="5" borderId="25" xfId="0" applyNumberFormat="1" applyFont="1" applyFill="1" applyBorder="1"/>
    <xf numFmtId="0" fontId="5" fillId="5" borderId="25" xfId="1" applyFont="1" applyFill="1" applyBorder="1" applyAlignment="1">
      <alignment wrapText="1"/>
    </xf>
    <xf numFmtId="0" fontId="5" fillId="5" borderId="26" xfId="1" applyFont="1" applyFill="1" applyBorder="1" applyAlignment="1">
      <alignment wrapText="1"/>
    </xf>
    <xf numFmtId="3" fontId="5" fillId="0" borderId="33" xfId="0" applyNumberFormat="1" applyFont="1" applyBorder="1"/>
    <xf numFmtId="3" fontId="5" fillId="5" borderId="33" xfId="0" applyNumberFormat="1" applyFont="1" applyFill="1" applyBorder="1"/>
    <xf numFmtId="0" fontId="6" fillId="5" borderId="4" xfId="1" applyFont="1" applyFill="1" applyBorder="1" applyAlignment="1">
      <alignment wrapText="1"/>
    </xf>
    <xf numFmtId="0" fontId="28" fillId="0" borderId="0" xfId="0" applyFont="1" applyAlignment="1">
      <alignment horizontal="center" vertical="center" wrapText="1"/>
    </xf>
    <xf numFmtId="3" fontId="28" fillId="0" borderId="0" xfId="0" applyNumberFormat="1" applyFont="1"/>
    <xf numFmtId="9" fontId="6" fillId="0" borderId="0" xfId="3" applyFont="1" applyBorder="1"/>
    <xf numFmtId="3" fontId="6" fillId="0" borderId="10" xfId="0" applyNumberFormat="1" applyFont="1" applyBorder="1"/>
    <xf numFmtId="9" fontId="6" fillId="0" borderId="64" xfId="3" applyFont="1" applyBorder="1"/>
    <xf numFmtId="9" fontId="6" fillId="0" borderId="55" xfId="3" applyFont="1" applyBorder="1"/>
    <xf numFmtId="9" fontId="6" fillId="0" borderId="11" xfId="3" applyFont="1" applyBorder="1"/>
    <xf numFmtId="9" fontId="6" fillId="0" borderId="19" xfId="3" applyFont="1" applyBorder="1"/>
    <xf numFmtId="3" fontId="6" fillId="0" borderId="22" xfId="0" applyNumberFormat="1" applyFont="1" applyBorder="1"/>
    <xf numFmtId="0" fontId="5" fillId="0" borderId="53" xfId="0" applyFont="1" applyBorder="1"/>
    <xf numFmtId="0" fontId="8" fillId="0" borderId="23" xfId="0" applyFont="1" applyBorder="1"/>
    <xf numFmtId="0" fontId="5" fillId="0" borderId="2" xfId="3" applyNumberFormat="1" applyFont="1" applyFill="1" applyBorder="1"/>
    <xf numFmtId="0" fontId="5" fillId="0" borderId="29" xfId="3" applyNumberFormat="1" applyFont="1" applyFill="1" applyBorder="1"/>
    <xf numFmtId="0" fontId="5" fillId="0" borderId="43" xfId="3" applyNumberFormat="1" applyFont="1" applyFill="1" applyBorder="1"/>
    <xf numFmtId="9" fontId="5" fillId="0" borderId="43" xfId="3" applyFont="1" applyFill="1" applyBorder="1"/>
    <xf numFmtId="9" fontId="6" fillId="0" borderId="43" xfId="3" applyFont="1" applyFill="1" applyBorder="1"/>
    <xf numFmtId="9" fontId="6" fillId="0" borderId="2" xfId="3" applyFont="1" applyFill="1" applyBorder="1" applyAlignment="1">
      <alignment horizontal="right"/>
    </xf>
    <xf numFmtId="1" fontId="5" fillId="4" borderId="6" xfId="0" applyNumberFormat="1" applyFont="1" applyFill="1" applyBorder="1" applyAlignment="1">
      <alignment horizontal="center"/>
    </xf>
    <xf numFmtId="1" fontId="5" fillId="0" borderId="68" xfId="0" applyNumberFormat="1" applyFont="1" applyBorder="1" applyAlignment="1">
      <alignment horizontal="center"/>
    </xf>
    <xf numFmtId="1" fontId="6" fillId="5" borderId="51" xfId="0" applyNumberFormat="1" applyFont="1" applyFill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1" fontId="6" fillId="0" borderId="64" xfId="0" applyNumberFormat="1" applyFont="1" applyBorder="1" applyAlignment="1">
      <alignment horizontal="center"/>
    </xf>
    <xf numFmtId="0" fontId="6" fillId="13" borderId="55" xfId="0" applyFont="1" applyFill="1" applyBorder="1" applyAlignment="1">
      <alignment horizontal="center"/>
    </xf>
    <xf numFmtId="0" fontId="6" fillId="13" borderId="16" xfId="0" applyFont="1" applyFill="1" applyBorder="1" applyAlignment="1">
      <alignment horizontal="center"/>
    </xf>
    <xf numFmtId="0" fontId="6" fillId="13" borderId="64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1" fontId="5" fillId="5" borderId="29" xfId="0" applyNumberFormat="1" applyFont="1" applyFill="1" applyBorder="1" applyAlignment="1">
      <alignment horizontal="center"/>
    </xf>
    <xf numFmtId="1" fontId="5" fillId="4" borderId="51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1" fontId="5" fillId="4" borderId="40" xfId="0" applyNumberFormat="1" applyFont="1" applyFill="1" applyBorder="1" applyAlignment="1">
      <alignment horizontal="center"/>
    </xf>
    <xf numFmtId="0" fontId="17" fillId="0" borderId="15" xfId="1" applyFont="1" applyBorder="1" applyAlignment="1">
      <alignment wrapText="1"/>
    </xf>
    <xf numFmtId="0" fontId="17" fillId="0" borderId="16" xfId="1" applyFont="1" applyBorder="1" applyAlignment="1">
      <alignment wrapText="1"/>
    </xf>
    <xf numFmtId="0" fontId="17" fillId="0" borderId="40" xfId="1" applyFont="1" applyBorder="1" applyAlignment="1">
      <alignment wrapText="1"/>
    </xf>
    <xf numFmtId="3" fontId="8" fillId="0" borderId="20" xfId="1" applyNumberFormat="1" applyFont="1" applyBorder="1"/>
    <xf numFmtId="3" fontId="8" fillId="0" borderId="19" xfId="1" applyNumberFormat="1" applyFont="1" applyBorder="1"/>
    <xf numFmtId="3" fontId="23" fillId="0" borderId="36" xfId="0" applyNumberFormat="1" applyFont="1" applyBorder="1"/>
    <xf numFmtId="3" fontId="19" fillId="0" borderId="37" xfId="0" applyNumberFormat="1" applyFont="1" applyBorder="1"/>
    <xf numFmtId="0" fontId="19" fillId="0" borderId="37" xfId="0" applyFont="1" applyBorder="1"/>
    <xf numFmtId="3" fontId="23" fillId="0" borderId="51" xfId="0" applyNumberFormat="1" applyFont="1" applyBorder="1"/>
    <xf numFmtId="3" fontId="19" fillId="0" borderId="16" xfId="0" applyNumberFormat="1" applyFont="1" applyBorder="1"/>
    <xf numFmtId="0" fontId="19" fillId="0" borderId="16" xfId="0" applyFont="1" applyBorder="1"/>
    <xf numFmtId="3" fontId="8" fillId="0" borderId="27" xfId="1" applyNumberFormat="1" applyFont="1" applyBorder="1"/>
    <xf numFmtId="3" fontId="19" fillId="0" borderId="40" xfId="0" applyNumberFormat="1" applyFont="1" applyBorder="1"/>
    <xf numFmtId="3" fontId="19" fillId="0" borderId="45" xfId="0" applyNumberFormat="1" applyFont="1" applyBorder="1"/>
    <xf numFmtId="3" fontId="19" fillId="0" borderId="6" xfId="0" applyNumberFormat="1" applyFont="1" applyBorder="1"/>
    <xf numFmtId="3" fontId="19" fillId="0" borderId="46" xfId="0" applyNumberFormat="1" applyFont="1" applyBorder="1"/>
    <xf numFmtId="3" fontId="19" fillId="0" borderId="30" xfId="0" applyNumberFormat="1" applyFont="1" applyBorder="1"/>
    <xf numFmtId="3" fontId="23" fillId="0" borderId="18" xfId="0" applyNumberFormat="1" applyFont="1" applyBorder="1"/>
    <xf numFmtId="0" fontId="19" fillId="0" borderId="11" xfId="0" applyFont="1" applyBorder="1"/>
    <xf numFmtId="3" fontId="19" fillId="0" borderId="11" xfId="0" applyNumberFormat="1" applyFont="1" applyBorder="1"/>
    <xf numFmtId="0" fontId="19" fillId="0" borderId="26" xfId="0" applyFont="1" applyBorder="1"/>
    <xf numFmtId="164" fontId="5" fillId="0" borderId="17" xfId="3" applyNumberFormat="1" applyFont="1" applyBorder="1"/>
    <xf numFmtId="164" fontId="5" fillId="0" borderId="54" xfId="3" applyNumberFormat="1" applyFont="1" applyBorder="1"/>
    <xf numFmtId="164" fontId="5" fillId="0" borderId="18" xfId="3" applyNumberFormat="1" applyFont="1" applyBorder="1"/>
    <xf numFmtId="164" fontId="5" fillId="0" borderId="36" xfId="3" applyNumberFormat="1" applyFont="1" applyBorder="1"/>
    <xf numFmtId="164" fontId="5" fillId="0" borderId="60" xfId="3" applyNumberFormat="1" applyFont="1" applyBorder="1"/>
    <xf numFmtId="164" fontId="5" fillId="0" borderId="58" xfId="3" applyNumberFormat="1" applyFont="1" applyBorder="1"/>
    <xf numFmtId="164" fontId="5" fillId="0" borderId="28" xfId="3" applyNumberFormat="1" applyFont="1" applyBorder="1"/>
    <xf numFmtId="164" fontId="5" fillId="0" borderId="46" xfId="3" applyNumberFormat="1" applyFont="1" applyBorder="1"/>
    <xf numFmtId="164" fontId="5" fillId="0" borderId="19" xfId="3" quotePrefix="1" applyNumberFormat="1" applyFont="1" applyBorder="1"/>
    <xf numFmtId="164" fontId="5" fillId="10" borderId="18" xfId="3" quotePrefix="1" applyNumberFormat="1" applyFont="1" applyFill="1" applyBorder="1"/>
    <xf numFmtId="164" fontId="5" fillId="7" borderId="18" xfId="3" quotePrefix="1" applyNumberFormat="1" applyFont="1" applyFill="1" applyBorder="1"/>
    <xf numFmtId="164" fontId="5" fillId="11" borderId="18" xfId="3" quotePrefix="1" applyNumberFormat="1" applyFont="1" applyFill="1" applyBorder="1"/>
    <xf numFmtId="164" fontId="5" fillId="2" borderId="18" xfId="3" quotePrefix="1" applyNumberFormat="1" applyFont="1" applyFill="1" applyBorder="1"/>
    <xf numFmtId="164" fontId="5" fillId="3" borderId="18" xfId="3" quotePrefix="1" applyNumberFormat="1" applyFont="1" applyFill="1" applyBorder="1"/>
    <xf numFmtId="164" fontId="5" fillId="9" borderId="18" xfId="3" quotePrefix="1" applyNumberFormat="1" applyFont="1" applyFill="1" applyBorder="1"/>
    <xf numFmtId="164" fontId="5" fillId="4" borderId="18" xfId="3" quotePrefix="1" applyNumberFormat="1" applyFont="1" applyFill="1" applyBorder="1"/>
    <xf numFmtId="164" fontId="5" fillId="5" borderId="18" xfId="3" quotePrefix="1" applyNumberFormat="1" applyFont="1" applyFill="1" applyBorder="1"/>
    <xf numFmtId="164" fontId="5" fillId="0" borderId="31" xfId="3" quotePrefix="1" applyNumberFormat="1" applyFont="1" applyBorder="1"/>
    <xf numFmtId="164" fontId="5" fillId="0" borderId="30" xfId="3" quotePrefix="1" applyNumberFormat="1" applyFont="1" applyBorder="1"/>
    <xf numFmtId="164" fontId="5" fillId="0" borderId="28" xfId="0" applyNumberFormat="1" applyFont="1" applyBorder="1"/>
    <xf numFmtId="164" fontId="5" fillId="0" borderId="17" xfId="0" applyNumberFormat="1" applyFont="1" applyBorder="1"/>
    <xf numFmtId="164" fontId="5" fillId="0" borderId="10" xfId="0" applyNumberFormat="1" applyFont="1" applyBorder="1"/>
    <xf numFmtId="164" fontId="5" fillId="0" borderId="73" xfId="3" applyNumberFormat="1" applyFont="1" applyBorder="1"/>
    <xf numFmtId="164" fontId="5" fillId="0" borderId="57" xfId="3" applyNumberFormat="1" applyFont="1" applyBorder="1"/>
    <xf numFmtId="164" fontId="5" fillId="0" borderId="30" xfId="3" applyNumberFormat="1" applyFont="1" applyBorder="1"/>
    <xf numFmtId="164" fontId="5" fillId="0" borderId="34" xfId="3" applyNumberFormat="1" applyFont="1" applyBorder="1"/>
    <xf numFmtId="3" fontId="19" fillId="0" borderId="20" xfId="0" applyNumberFormat="1" applyFont="1" applyBorder="1"/>
    <xf numFmtId="0" fontId="19" fillId="0" borderId="20" xfId="0" applyFont="1" applyBorder="1"/>
    <xf numFmtId="3" fontId="5" fillId="0" borderId="16" xfId="0" applyNumberFormat="1" applyFont="1" applyBorder="1"/>
    <xf numFmtId="0" fontId="5" fillId="0" borderId="16" xfId="0" applyFont="1" applyBorder="1"/>
    <xf numFmtId="3" fontId="19" fillId="0" borderId="19" xfId="0" applyNumberFormat="1" applyFont="1" applyBorder="1"/>
    <xf numFmtId="3" fontId="19" fillId="0" borderId="27" xfId="0" applyNumberFormat="1" applyFont="1" applyBorder="1"/>
    <xf numFmtId="3" fontId="5" fillId="0" borderId="40" xfId="0" applyNumberFormat="1" applyFont="1" applyBorder="1"/>
    <xf numFmtId="3" fontId="19" fillId="0" borderId="31" xfId="0" applyNumberFormat="1" applyFont="1" applyBorder="1"/>
    <xf numFmtId="0" fontId="5" fillId="0" borderId="71" xfId="0" applyFont="1" applyBorder="1"/>
    <xf numFmtId="3" fontId="6" fillId="0" borderId="37" xfId="0" applyNumberFormat="1" applyFont="1" applyBorder="1"/>
    <xf numFmtId="3" fontId="6" fillId="0" borderId="11" xfId="0" applyNumberFormat="1" applyFont="1" applyBorder="1"/>
    <xf numFmtId="3" fontId="6" fillId="0" borderId="45" xfId="0" applyNumberFormat="1" applyFont="1" applyBorder="1"/>
    <xf numFmtId="3" fontId="8" fillId="0" borderId="46" xfId="0" applyNumberFormat="1" applyFont="1" applyBorder="1"/>
    <xf numFmtId="3" fontId="8" fillId="0" borderId="30" xfId="0" applyNumberFormat="1" applyFont="1" applyBorder="1"/>
    <xf numFmtId="3" fontId="8" fillId="0" borderId="52" xfId="1" applyNumberFormat="1" applyFont="1" applyBorder="1"/>
    <xf numFmtId="3" fontId="5" fillId="0" borderId="4" xfId="0" applyNumberFormat="1" applyFont="1" applyBorder="1"/>
    <xf numFmtId="164" fontId="5" fillId="0" borderId="15" xfId="3" applyNumberFormat="1" applyFont="1" applyBorder="1"/>
    <xf numFmtId="164" fontId="5" fillId="0" borderId="4" xfId="3" applyNumberFormat="1" applyFont="1" applyBorder="1"/>
    <xf numFmtId="164" fontId="5" fillId="0" borderId="6" xfId="3" applyNumberFormat="1" applyFont="1" applyBorder="1"/>
    <xf numFmtId="0" fontId="20" fillId="0" borderId="12" xfId="1" applyFont="1" applyBorder="1" applyAlignment="1">
      <alignment horizontal="center" wrapText="1"/>
    </xf>
    <xf numFmtId="0" fontId="20" fillId="0" borderId="27" xfId="1" applyFont="1" applyBorder="1" applyAlignment="1">
      <alignment horizontal="center" wrapText="1"/>
    </xf>
    <xf numFmtId="0" fontId="20" fillId="0" borderId="5" xfId="1" applyFont="1" applyBorder="1" applyAlignment="1">
      <alignment horizontal="center" wrapText="1"/>
    </xf>
    <xf numFmtId="0" fontId="20" fillId="0" borderId="40" xfId="1" applyFont="1" applyBorder="1" applyAlignment="1">
      <alignment horizontal="center" wrapText="1"/>
    </xf>
    <xf numFmtId="0" fontId="20" fillId="0" borderId="39" xfId="1" applyFont="1" applyBorder="1" applyAlignment="1">
      <alignment horizontal="center" wrapText="1"/>
    </xf>
    <xf numFmtId="0" fontId="5" fillId="0" borderId="67" xfId="0" applyFont="1" applyBorder="1"/>
    <xf numFmtId="0" fontId="5" fillId="0" borderId="74" xfId="0" applyFont="1" applyBorder="1" applyAlignment="1">
      <alignment horizontal="center"/>
    </xf>
    <xf numFmtId="0" fontId="20" fillId="0" borderId="53" xfId="1" applyFont="1" applyBorder="1" applyAlignment="1">
      <alignment horizontal="center" wrapText="1"/>
    </xf>
    <xf numFmtId="3" fontId="5" fillId="0" borderId="19" xfId="1" applyNumberFormat="1" applyFont="1" applyBorder="1" applyAlignment="1">
      <alignment wrapText="1"/>
    </xf>
    <xf numFmtId="3" fontId="5" fillId="0" borderId="15" xfId="1" applyNumberFormat="1" applyFont="1" applyBorder="1" applyAlignment="1">
      <alignment wrapText="1"/>
    </xf>
    <xf numFmtId="3" fontId="5" fillId="0" borderId="22" xfId="1" applyNumberFormat="1" applyFont="1" applyBorder="1" applyAlignment="1">
      <alignment wrapText="1"/>
    </xf>
    <xf numFmtId="3" fontId="5" fillId="0" borderId="4" xfId="1" applyNumberFormat="1" applyFont="1" applyBorder="1" applyAlignment="1">
      <alignment wrapText="1"/>
    </xf>
    <xf numFmtId="3" fontId="5" fillId="0" borderId="31" xfId="1" applyNumberFormat="1" applyFont="1" applyBorder="1" applyAlignment="1">
      <alignment wrapText="1"/>
    </xf>
    <xf numFmtId="3" fontId="5" fillId="0" borderId="6" xfId="1" applyNumberFormat="1" applyFont="1" applyBorder="1" applyAlignment="1">
      <alignment wrapText="1"/>
    </xf>
    <xf numFmtId="0" fontId="5" fillId="0" borderId="3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43" xfId="0" applyNumberFormat="1" applyFont="1" applyBorder="1"/>
    <xf numFmtId="164" fontId="5" fillId="0" borderId="29" xfId="0" applyNumberFormat="1" applyFont="1" applyBorder="1"/>
    <xf numFmtId="164" fontId="5" fillId="0" borderId="46" xfId="0" applyNumberFormat="1" applyFont="1" applyBorder="1"/>
    <xf numFmtId="164" fontId="5" fillId="0" borderId="30" xfId="0" applyNumberFormat="1" applyFont="1" applyBorder="1"/>
    <xf numFmtId="164" fontId="5" fillId="0" borderId="11" xfId="0" applyNumberFormat="1" applyFont="1" applyBorder="1"/>
    <xf numFmtId="164" fontId="5" fillId="0" borderId="47" xfId="0" applyNumberFormat="1" applyFont="1" applyBorder="1"/>
    <xf numFmtId="164" fontId="5" fillId="0" borderId="71" xfId="0" applyNumberFormat="1" applyFont="1" applyBorder="1"/>
    <xf numFmtId="164" fontId="5" fillId="0" borderId="35" xfId="0" applyNumberFormat="1" applyFont="1" applyBorder="1"/>
    <xf numFmtId="164" fontId="5" fillId="0" borderId="64" xfId="0" applyNumberFormat="1" applyFont="1" applyBorder="1"/>
    <xf numFmtId="9" fontId="6" fillId="0" borderId="0" xfId="0" applyNumberFormat="1" applyFont="1"/>
    <xf numFmtId="0" fontId="5" fillId="7" borderId="1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left"/>
    </xf>
    <xf numFmtId="0" fontId="5" fillId="7" borderId="48" xfId="0" applyFont="1" applyFill="1" applyBorder="1" applyAlignment="1">
      <alignment horizontal="left"/>
    </xf>
    <xf numFmtId="0" fontId="5" fillId="7" borderId="49" xfId="0" applyFont="1" applyFill="1" applyBorder="1" applyAlignment="1">
      <alignment horizontal="left"/>
    </xf>
    <xf numFmtId="0" fontId="5" fillId="7" borderId="47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left"/>
    </xf>
    <xf numFmtId="164" fontId="5" fillId="0" borderId="24" xfId="0" applyNumberFormat="1" applyFont="1" applyBorder="1"/>
    <xf numFmtId="0" fontId="5" fillId="0" borderId="14" xfId="0" applyFont="1" applyBorder="1"/>
    <xf numFmtId="0" fontId="20" fillId="0" borderId="13" xfId="1" applyFont="1" applyBorder="1" applyAlignment="1">
      <alignment horizontal="center" wrapText="1"/>
    </xf>
    <xf numFmtId="164" fontId="5" fillId="5" borderId="36" xfId="3" applyNumberFormat="1" applyFont="1" applyFill="1" applyBorder="1" applyAlignment="1">
      <alignment horizontal="right"/>
    </xf>
    <xf numFmtId="164" fontId="5" fillId="5" borderId="46" xfId="3" applyNumberFormat="1" applyFont="1" applyFill="1" applyBorder="1" applyAlignment="1">
      <alignment horizontal="right"/>
    </xf>
    <xf numFmtId="164" fontId="5" fillId="7" borderId="36" xfId="3" applyNumberFormat="1" applyFont="1" applyFill="1" applyBorder="1" applyAlignment="1">
      <alignment horizontal="right"/>
    </xf>
    <xf numFmtId="164" fontId="5" fillId="7" borderId="46" xfId="3" applyNumberFormat="1" applyFont="1" applyFill="1" applyBorder="1" applyAlignment="1">
      <alignment horizontal="right"/>
    </xf>
    <xf numFmtId="164" fontId="5" fillId="3" borderId="36" xfId="3" applyNumberFormat="1" applyFont="1" applyFill="1" applyBorder="1" applyAlignment="1">
      <alignment horizontal="right"/>
    </xf>
    <xf numFmtId="164" fontId="5" fillId="4" borderId="36" xfId="3" applyNumberFormat="1" applyFont="1" applyFill="1" applyBorder="1" applyAlignment="1">
      <alignment horizontal="right"/>
    </xf>
    <xf numFmtId="164" fontId="5" fillId="9" borderId="36" xfId="3" applyNumberFormat="1" applyFont="1" applyFill="1" applyBorder="1" applyAlignment="1">
      <alignment horizontal="right"/>
    </xf>
    <xf numFmtId="164" fontId="5" fillId="10" borderId="36" xfId="3" applyNumberFormat="1" applyFont="1" applyFill="1" applyBorder="1" applyAlignment="1">
      <alignment horizontal="right"/>
    </xf>
    <xf numFmtId="164" fontId="5" fillId="11" borderId="36" xfId="3" applyNumberFormat="1" applyFont="1" applyFill="1" applyBorder="1" applyAlignment="1">
      <alignment horizontal="right"/>
    </xf>
    <xf numFmtId="164" fontId="5" fillId="10" borderId="58" xfId="3" applyNumberFormat="1" applyFont="1" applyFill="1" applyBorder="1" applyAlignment="1">
      <alignment horizontal="right"/>
    </xf>
    <xf numFmtId="164" fontId="5" fillId="7" borderId="58" xfId="3" applyNumberFormat="1" applyFont="1" applyFill="1" applyBorder="1" applyAlignment="1">
      <alignment horizontal="right"/>
    </xf>
    <xf numFmtId="164" fontId="5" fillId="3" borderId="37" xfId="0" applyNumberFormat="1" applyFont="1" applyFill="1" applyBorder="1"/>
    <xf numFmtId="164" fontId="5" fillId="10" borderId="37" xfId="0" applyNumberFormat="1" applyFont="1" applyFill="1" applyBorder="1"/>
    <xf numFmtId="164" fontId="5" fillId="10" borderId="45" xfId="0" applyNumberFormat="1" applyFont="1" applyFill="1" applyBorder="1"/>
    <xf numFmtId="164" fontId="5" fillId="11" borderId="37" xfId="0" applyNumberFormat="1" applyFont="1" applyFill="1" applyBorder="1"/>
    <xf numFmtId="164" fontId="5" fillId="7" borderId="37" xfId="0" applyNumberFormat="1" applyFont="1" applyFill="1" applyBorder="1"/>
    <xf numFmtId="164" fontId="5" fillId="5" borderId="37" xfId="0" applyNumberFormat="1" applyFont="1" applyFill="1" applyBorder="1"/>
    <xf numFmtId="164" fontId="5" fillId="7" borderId="36" xfId="0" applyNumberFormat="1" applyFont="1" applyFill="1" applyBorder="1"/>
    <xf numFmtId="164" fontId="5" fillId="9" borderId="37" xfId="0" applyNumberFormat="1" applyFont="1" applyFill="1" applyBorder="1"/>
    <xf numFmtId="164" fontId="5" fillId="4" borderId="37" xfId="0" applyNumberFormat="1" applyFont="1" applyFill="1" applyBorder="1"/>
    <xf numFmtId="164" fontId="5" fillId="7" borderId="18" xfId="0" applyNumberFormat="1" applyFont="1" applyFill="1" applyBorder="1"/>
    <xf numFmtId="164" fontId="5" fillId="4" borderId="11" xfId="0" applyNumberFormat="1" applyFont="1" applyFill="1" applyBorder="1"/>
    <xf numFmtId="164" fontId="5" fillId="9" borderId="11" xfId="0" applyNumberFormat="1" applyFont="1" applyFill="1" applyBorder="1"/>
    <xf numFmtId="1" fontId="5" fillId="0" borderId="60" xfId="0" applyNumberFormat="1" applyFont="1" applyBorder="1"/>
    <xf numFmtId="0" fontId="5" fillId="4" borderId="61" xfId="0" applyFont="1" applyFill="1" applyBorder="1" applyAlignment="1">
      <alignment horizontal="center"/>
    </xf>
    <xf numFmtId="164" fontId="5" fillId="0" borderId="65" xfId="0" applyNumberFormat="1" applyFont="1" applyBorder="1"/>
    <xf numFmtId="164" fontId="5" fillId="0" borderId="34" xfId="0" applyNumberFormat="1" applyFont="1" applyBorder="1"/>
    <xf numFmtId="164" fontId="5" fillId="0" borderId="33" xfId="3" applyNumberFormat="1" applyFont="1" applyBorder="1"/>
    <xf numFmtId="0" fontId="5" fillId="0" borderId="65" xfId="0" applyFont="1" applyBorder="1"/>
    <xf numFmtId="1" fontId="5" fillId="0" borderId="17" xfId="3" applyNumberFormat="1" applyFont="1" applyBorder="1"/>
    <xf numFmtId="2" fontId="9" fillId="0" borderId="0" xfId="3" applyNumberFormat="1" applyFont="1"/>
    <xf numFmtId="2" fontId="5" fillId="0" borderId="0" xfId="3" applyNumberFormat="1" applyFont="1"/>
    <xf numFmtId="2" fontId="5" fillId="4" borderId="21" xfId="3" applyNumberFormat="1" applyFont="1" applyFill="1" applyBorder="1"/>
    <xf numFmtId="2" fontId="5" fillId="4" borderId="22" xfId="3" applyNumberFormat="1" applyFont="1" applyFill="1" applyBorder="1"/>
    <xf numFmtId="2" fontId="5" fillId="4" borderId="12" xfId="3" applyNumberFormat="1" applyFont="1" applyFill="1" applyBorder="1" applyAlignment="1">
      <alignment horizontal="center"/>
    </xf>
    <xf numFmtId="2" fontId="6" fillId="0" borderId="0" xfId="3" applyNumberFormat="1" applyFont="1"/>
    <xf numFmtId="2" fontId="0" fillId="0" borderId="0" xfId="3" applyNumberFormat="1" applyFont="1"/>
    <xf numFmtId="0" fontId="5" fillId="3" borderId="48" xfId="0" applyFont="1" applyFill="1" applyBorder="1"/>
    <xf numFmtId="0" fontId="5" fillId="3" borderId="0" xfId="0" applyFont="1" applyFill="1"/>
    <xf numFmtId="0" fontId="5" fillId="3" borderId="42" xfId="0" applyFont="1" applyFill="1" applyBorder="1" applyAlignment="1">
      <alignment horizontal="center"/>
    </xf>
    <xf numFmtId="0" fontId="5" fillId="3" borderId="26" xfId="0" applyFont="1" applyFill="1" applyBorder="1"/>
    <xf numFmtId="164" fontId="5" fillId="0" borderId="47" xfId="3" applyNumberFormat="1" applyFont="1" applyBorder="1" applyAlignment="1">
      <alignment horizontal="right"/>
    </xf>
    <xf numFmtId="164" fontId="5" fillId="11" borderId="35" xfId="3" applyNumberFormat="1" applyFont="1" applyFill="1" applyBorder="1" applyAlignment="1">
      <alignment horizontal="right"/>
    </xf>
    <xf numFmtId="164" fontId="5" fillId="11" borderId="10" xfId="3" applyNumberFormat="1" applyFont="1" applyFill="1" applyBorder="1" applyAlignment="1">
      <alignment horizontal="right"/>
    </xf>
    <xf numFmtId="164" fontId="5" fillId="3" borderId="10" xfId="3" applyNumberFormat="1" applyFont="1" applyFill="1" applyBorder="1" applyAlignment="1">
      <alignment horizontal="right"/>
    </xf>
    <xf numFmtId="164" fontId="5" fillId="10" borderId="10" xfId="3" applyNumberFormat="1" applyFont="1" applyFill="1" applyBorder="1" applyAlignment="1">
      <alignment horizontal="right"/>
    </xf>
    <xf numFmtId="164" fontId="5" fillId="4" borderId="47" xfId="3" applyNumberFormat="1" applyFont="1" applyFill="1" applyBorder="1" applyAlignment="1">
      <alignment horizontal="right"/>
    </xf>
    <xf numFmtId="164" fontId="5" fillId="7" borderId="2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5" fillId="5" borderId="25" xfId="0" applyNumberFormat="1" applyFont="1" applyFill="1" applyBorder="1" applyAlignment="1">
      <alignment horizontal="right"/>
    </xf>
    <xf numFmtId="164" fontId="5" fillId="5" borderId="29" xfId="0" applyNumberFormat="1" applyFont="1" applyFill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5" fillId="0" borderId="29" xfId="3" applyNumberFormat="1" applyFont="1" applyBorder="1"/>
    <xf numFmtId="164" fontId="6" fillId="0" borderId="1" xfId="3" applyNumberFormat="1" applyFont="1" applyBorder="1"/>
    <xf numFmtId="164" fontId="6" fillId="0" borderId="1" xfId="3" applyNumberFormat="1" applyFont="1" applyBorder="1" applyAlignment="1">
      <alignment horizontal="right"/>
    </xf>
    <xf numFmtId="164" fontId="6" fillId="0" borderId="2" xfId="3" applyNumberFormat="1" applyFont="1" applyBorder="1"/>
    <xf numFmtId="164" fontId="6" fillId="0" borderId="17" xfId="3" applyNumberFormat="1" applyFont="1" applyBorder="1"/>
    <xf numFmtId="164" fontId="6" fillId="0" borderId="18" xfId="3" applyNumberFormat="1" applyFont="1" applyBorder="1"/>
    <xf numFmtId="164" fontId="6" fillId="0" borderId="10" xfId="3" applyNumberFormat="1" applyFont="1" applyBorder="1"/>
    <xf numFmtId="164" fontId="6" fillId="0" borderId="24" xfId="3" applyNumberFormat="1" applyFont="1" applyBorder="1"/>
    <xf numFmtId="164" fontId="6" fillId="0" borderId="25" xfId="3" applyNumberFormat="1" applyFont="1" applyBorder="1"/>
    <xf numFmtId="164" fontId="6" fillId="0" borderId="33" xfId="3" applyNumberFormat="1" applyFont="1" applyBorder="1"/>
    <xf numFmtId="164" fontId="6" fillId="0" borderId="11" xfId="3" applyNumberFormat="1" applyFont="1" applyBorder="1" applyAlignment="1">
      <alignment horizontal="right"/>
    </xf>
    <xf numFmtId="0" fontId="26" fillId="8" borderId="0" xfId="0" applyFont="1" applyFill="1" applyAlignment="1">
      <alignment vertical="center"/>
    </xf>
    <xf numFmtId="0" fontId="6" fillId="16" borderId="0" xfId="0" applyFont="1" applyFill="1"/>
    <xf numFmtId="0" fontId="6" fillId="17" borderId="0" xfId="0" applyFont="1" applyFill="1"/>
    <xf numFmtId="14" fontId="5" fillId="4" borderId="38" xfId="0" applyNumberFormat="1" applyFont="1" applyFill="1" applyBorder="1" applyAlignment="1">
      <alignment horizontal="center"/>
    </xf>
    <xf numFmtId="14" fontId="5" fillId="5" borderId="25" xfId="0" applyNumberFormat="1" applyFont="1" applyFill="1" applyBorder="1"/>
    <xf numFmtId="14" fontId="5" fillId="8" borderId="11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6" fillId="2" borderId="0" xfId="0" applyFont="1" applyFill="1" applyAlignment="1">
      <alignment vertical="center"/>
    </xf>
    <xf numFmtId="0" fontId="6" fillId="8" borderId="11" xfId="0" applyFont="1" applyFill="1" applyBorder="1" applyAlignment="1">
      <alignment horizontal="center"/>
    </xf>
    <xf numFmtId="14" fontId="5" fillId="10" borderId="74" xfId="0" applyNumberFormat="1" applyFont="1" applyFill="1" applyBorder="1" applyAlignment="1">
      <alignment horizontal="center"/>
    </xf>
    <xf numFmtId="17" fontId="6" fillId="10" borderId="63" xfId="0" applyNumberFormat="1" applyFont="1" applyFill="1" applyBorder="1" applyAlignment="1">
      <alignment horizontal="center"/>
    </xf>
    <xf numFmtId="17" fontId="6" fillId="10" borderId="64" xfId="0" applyNumberFormat="1" applyFont="1" applyFill="1" applyBorder="1" applyAlignment="1">
      <alignment horizontal="center"/>
    </xf>
    <xf numFmtId="0" fontId="6" fillId="10" borderId="64" xfId="0" applyFont="1" applyFill="1" applyBorder="1" applyAlignment="1">
      <alignment horizontal="center"/>
    </xf>
    <xf numFmtId="0" fontId="6" fillId="10" borderId="71" xfId="0" applyFont="1" applyFill="1" applyBorder="1" applyAlignment="1">
      <alignment horizontal="center"/>
    </xf>
    <xf numFmtId="1" fontId="5" fillId="10" borderId="35" xfId="0" applyNumberFormat="1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17" fontId="6" fillId="17" borderId="11" xfId="0" applyNumberFormat="1" applyFont="1" applyFill="1" applyBorder="1" applyAlignment="1">
      <alignment horizontal="center"/>
    </xf>
    <xf numFmtId="0" fontId="6" fillId="17" borderId="11" xfId="0" applyFont="1" applyFill="1" applyBorder="1" applyAlignment="1">
      <alignment horizontal="center"/>
    </xf>
    <xf numFmtId="17" fontId="6" fillId="16" borderId="11" xfId="0" applyNumberFormat="1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17" fontId="6" fillId="16" borderId="18" xfId="0" applyNumberFormat="1" applyFont="1" applyFill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73" xfId="0" applyNumberFormat="1" applyFont="1" applyBorder="1" applyAlignment="1">
      <alignment horizontal="center"/>
    </xf>
    <xf numFmtId="0" fontId="6" fillId="11" borderId="26" xfId="0" applyFont="1" applyFill="1" applyBorder="1" applyAlignment="1">
      <alignment horizontal="center"/>
    </xf>
    <xf numFmtId="1" fontId="5" fillId="11" borderId="30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3" fontId="5" fillId="0" borderId="10" xfId="1" applyNumberFormat="1" applyFont="1" applyBorder="1"/>
    <xf numFmtId="3" fontId="6" fillId="0" borderId="1" xfId="1" applyNumberFormat="1" applyFont="1" applyBorder="1"/>
    <xf numFmtId="3" fontId="5" fillId="0" borderId="1" xfId="1" applyNumberFormat="1" applyFont="1" applyBorder="1"/>
    <xf numFmtId="3" fontId="5" fillId="0" borderId="10" xfId="4" applyNumberFormat="1" applyFont="1" applyBorder="1"/>
    <xf numFmtId="3" fontId="5" fillId="0" borderId="1" xfId="4" applyNumberFormat="1" applyFont="1" applyBorder="1"/>
    <xf numFmtId="3" fontId="6" fillId="0" borderId="1" xfId="4" applyNumberFormat="1" applyFont="1" applyBorder="1"/>
    <xf numFmtId="4" fontId="5" fillId="0" borderId="11" xfId="4" applyNumberFormat="1" applyFont="1" applyBorder="1"/>
    <xf numFmtId="3" fontId="6" fillId="4" borderId="1" xfId="1" applyNumberFormat="1" applyFont="1" applyFill="1" applyBorder="1"/>
    <xf numFmtId="3" fontId="6" fillId="18" borderId="1" xfId="1" applyNumberFormat="1" applyFont="1" applyFill="1" applyBorder="1"/>
    <xf numFmtId="3" fontId="5" fillId="4" borderId="1" xfId="1" applyNumberFormat="1" applyFont="1" applyFill="1" applyBorder="1"/>
    <xf numFmtId="3" fontId="5" fillId="0" borderId="10" xfId="4" applyNumberFormat="1" applyFont="1" applyBorder="1" applyAlignment="1">
      <alignment horizontal="right"/>
    </xf>
    <xf numFmtId="3" fontId="33" fillId="0" borderId="10" xfId="1" applyNumberFormat="1" applyFont="1" applyBorder="1" applyAlignment="1">
      <alignment horizontal="right" vertical="center"/>
    </xf>
    <xf numFmtId="3" fontId="5" fillId="0" borderId="24" xfId="4" applyNumberFormat="1" applyFont="1" applyBorder="1"/>
    <xf numFmtId="3" fontId="5" fillId="0" borderId="25" xfId="4" applyNumberFormat="1" applyFont="1" applyBorder="1"/>
    <xf numFmtId="3" fontId="6" fillId="0" borderId="25" xfId="4" applyNumberFormat="1" applyFont="1" applyBorder="1"/>
    <xf numFmtId="3" fontId="5" fillId="0" borderId="28" xfId="4" applyNumberFormat="1" applyFont="1" applyBorder="1"/>
    <xf numFmtId="3" fontId="5" fillId="0" borderId="29" xfId="4" applyNumberFormat="1" applyFont="1" applyBorder="1"/>
    <xf numFmtId="164" fontId="6" fillId="0" borderId="11" xfId="3" applyNumberFormat="1" applyFont="1" applyBorder="1"/>
    <xf numFmtId="4" fontId="5" fillId="4" borderId="11" xfId="1" applyNumberFormat="1" applyFont="1" applyFill="1" applyBorder="1"/>
    <xf numFmtId="4" fontId="5" fillId="4" borderId="11" xfId="4" applyNumberFormat="1" applyFont="1" applyFill="1" applyBorder="1"/>
    <xf numFmtId="4" fontId="5" fillId="2" borderId="11" xfId="4" applyNumberFormat="1" applyFont="1" applyFill="1" applyBorder="1"/>
    <xf numFmtId="4" fontId="5" fillId="2" borderId="11" xfId="1" applyNumberFormat="1" applyFont="1" applyFill="1" applyBorder="1"/>
    <xf numFmtId="4" fontId="5" fillId="3" borderId="11" xfId="1" applyNumberFormat="1" applyFont="1" applyFill="1" applyBorder="1"/>
    <xf numFmtId="4" fontId="5" fillId="3" borderId="11" xfId="4" applyNumberFormat="1" applyFont="1" applyFill="1" applyBorder="1"/>
    <xf numFmtId="4" fontId="5" fillId="3" borderId="26" xfId="4" applyNumberFormat="1" applyFont="1" applyFill="1" applyBorder="1"/>
    <xf numFmtId="4" fontId="5" fillId="10" borderId="11" xfId="1" applyNumberFormat="1" applyFont="1" applyFill="1" applyBorder="1"/>
    <xf numFmtId="4" fontId="5" fillId="10" borderId="11" xfId="4" applyNumberFormat="1" applyFont="1" applyFill="1" applyBorder="1"/>
    <xf numFmtId="4" fontId="5" fillId="11" borderId="11" xfId="1" applyNumberFormat="1" applyFont="1" applyFill="1" applyBorder="1"/>
    <xf numFmtId="4" fontId="5" fillId="11" borderId="11" xfId="4" applyNumberFormat="1" applyFont="1" applyFill="1" applyBorder="1"/>
    <xf numFmtId="4" fontId="5" fillId="7" borderId="11" xfId="1" applyNumberFormat="1" applyFont="1" applyFill="1" applyBorder="1"/>
    <xf numFmtId="4" fontId="5" fillId="7" borderId="11" xfId="4" applyNumberFormat="1" applyFont="1" applyFill="1" applyBorder="1"/>
    <xf numFmtId="4" fontId="5" fillId="7" borderId="30" xfId="4" applyNumberFormat="1" applyFont="1" applyFill="1" applyBorder="1"/>
    <xf numFmtId="4" fontId="5" fillId="5" borderId="11" xfId="1" applyNumberFormat="1" applyFont="1" applyFill="1" applyBorder="1"/>
    <xf numFmtId="4" fontId="5" fillId="5" borderId="11" xfId="4" applyNumberFormat="1" applyFont="1" applyFill="1" applyBorder="1"/>
    <xf numFmtId="4" fontId="5" fillId="9" borderId="11" xfId="1" applyNumberFormat="1" applyFont="1" applyFill="1" applyBorder="1"/>
    <xf numFmtId="4" fontId="5" fillId="9" borderId="11" xfId="4" applyNumberFormat="1" applyFont="1" applyFill="1" applyBorder="1"/>
    <xf numFmtId="0" fontId="35" fillId="0" borderId="0" xfId="0" applyFont="1" applyAlignment="1">
      <alignment horizontal="center" vertical="center" wrapText="1"/>
    </xf>
    <xf numFmtId="16" fontId="36" fillId="0" borderId="0" xfId="1" applyNumberFormat="1" applyFont="1" applyAlignment="1">
      <alignment horizontal="center" vertical="center" wrapText="1"/>
    </xf>
    <xf numFmtId="15" fontId="37" fillId="0" borderId="0" xfId="0" quotePrefix="1" applyNumberFormat="1" applyFont="1" applyAlignment="1">
      <alignment horizontal="center" vertical="center" wrapText="1"/>
    </xf>
    <xf numFmtId="0" fontId="37" fillId="0" borderId="0" xfId="0" quotePrefix="1" applyFont="1" applyAlignment="1">
      <alignment horizontal="center" vertical="center" wrapText="1"/>
    </xf>
    <xf numFmtId="14" fontId="0" fillId="0" borderId="0" xfId="0" applyNumberFormat="1"/>
    <xf numFmtId="9" fontId="5" fillId="4" borderId="18" xfId="3" applyFont="1" applyFill="1" applyBorder="1"/>
    <xf numFmtId="9" fontId="5" fillId="4" borderId="11" xfId="3" applyFont="1" applyFill="1" applyBorder="1"/>
    <xf numFmtId="9" fontId="5" fillId="7" borderId="18" xfId="3" applyFont="1" applyFill="1" applyBorder="1"/>
    <xf numFmtId="9" fontId="5" fillId="7" borderId="11" xfId="3" applyFont="1" applyFill="1" applyBorder="1"/>
    <xf numFmtId="9" fontId="5" fillId="5" borderId="30" xfId="3" applyFont="1" applyFill="1" applyBorder="1"/>
    <xf numFmtId="9" fontId="5" fillId="5" borderId="18" xfId="3" applyFont="1" applyFill="1" applyBorder="1"/>
    <xf numFmtId="9" fontId="5" fillId="9" borderId="18" xfId="3" applyFont="1" applyFill="1" applyBorder="1"/>
    <xf numFmtId="9" fontId="5" fillId="9" borderId="11" xfId="3" applyFont="1" applyFill="1" applyBorder="1"/>
    <xf numFmtId="9" fontId="5" fillId="12" borderId="18" xfId="3" applyFont="1" applyFill="1" applyBorder="1"/>
    <xf numFmtId="9" fontId="5" fillId="3" borderId="18" xfId="3" applyFont="1" applyFill="1" applyBorder="1"/>
    <xf numFmtId="9" fontId="5" fillId="10" borderId="18" xfId="3" applyFont="1" applyFill="1" applyBorder="1"/>
    <xf numFmtId="9" fontId="5" fillId="2" borderId="18" xfId="3" applyFont="1" applyFill="1" applyBorder="1"/>
    <xf numFmtId="9" fontId="5" fillId="0" borderId="19" xfId="3" applyFont="1" applyBorder="1"/>
    <xf numFmtId="9" fontId="5" fillId="0" borderId="41" xfId="3" applyFont="1" applyBorder="1"/>
    <xf numFmtId="0" fontId="5" fillId="0" borderId="28" xfId="2" applyFont="1" applyBorder="1"/>
    <xf numFmtId="9" fontId="5" fillId="4" borderId="18" xfId="0" applyNumberFormat="1" applyFont="1" applyFill="1" applyBorder="1"/>
    <xf numFmtId="9" fontId="5" fillId="4" borderId="11" xfId="0" applyNumberFormat="1" applyFont="1" applyFill="1" applyBorder="1"/>
    <xf numFmtId="9" fontId="5" fillId="7" borderId="18" xfId="0" applyNumberFormat="1" applyFont="1" applyFill="1" applyBorder="1"/>
    <xf numFmtId="9" fontId="5" fillId="5" borderId="18" xfId="0" applyNumberFormat="1" applyFont="1" applyFill="1" applyBorder="1"/>
    <xf numFmtId="9" fontId="5" fillId="9" borderId="18" xfId="0" applyNumberFormat="1" applyFont="1" applyFill="1" applyBorder="1"/>
    <xf numFmtId="9" fontId="5" fillId="3" borderId="18" xfId="0" applyNumberFormat="1" applyFont="1" applyFill="1" applyBorder="1"/>
    <xf numFmtId="9" fontId="5" fillId="10" borderId="18" xfId="0" applyNumberFormat="1" applyFont="1" applyFill="1" applyBorder="1"/>
    <xf numFmtId="9" fontId="5" fillId="11" borderId="18" xfId="0" applyNumberFormat="1" applyFont="1" applyFill="1" applyBorder="1"/>
    <xf numFmtId="9" fontId="5" fillId="2" borderId="18" xfId="0" applyNumberFormat="1" applyFont="1" applyFill="1" applyBorder="1"/>
    <xf numFmtId="9" fontId="5" fillId="2" borderId="11" xfId="0" applyNumberFormat="1" applyFont="1" applyFill="1" applyBorder="1"/>
    <xf numFmtId="9" fontId="6" fillId="4" borderId="11" xfId="0" applyNumberFormat="1" applyFont="1" applyFill="1" applyBorder="1"/>
    <xf numFmtId="9" fontId="6" fillId="7" borderId="11" xfId="0" applyNumberFormat="1" applyFont="1" applyFill="1" applyBorder="1"/>
    <xf numFmtId="9" fontId="6" fillId="5" borderId="18" xfId="0" applyNumberFormat="1" applyFont="1" applyFill="1" applyBorder="1"/>
    <xf numFmtId="9" fontId="6" fillId="5" borderId="11" xfId="0" applyNumberFormat="1" applyFont="1" applyFill="1" applyBorder="1"/>
    <xf numFmtId="9" fontId="6" fillId="9" borderId="11" xfId="0" applyNumberFormat="1" applyFont="1" applyFill="1" applyBorder="1"/>
    <xf numFmtId="9" fontId="6" fillId="3" borderId="11" xfId="0" applyNumberFormat="1" applyFont="1" applyFill="1" applyBorder="1"/>
    <xf numFmtId="9" fontId="6" fillId="10" borderId="11" xfId="0" applyNumberFormat="1" applyFont="1" applyFill="1" applyBorder="1"/>
    <xf numFmtId="9" fontId="6" fillId="11" borderId="11" xfId="0" applyNumberFormat="1" applyFont="1" applyFill="1" applyBorder="1"/>
    <xf numFmtId="3" fontId="16" fillId="0" borderId="0" xfId="0" applyNumberFormat="1" applyFont="1"/>
    <xf numFmtId="164" fontId="5" fillId="7" borderId="11" xfId="0" applyNumberFormat="1" applyFont="1" applyFill="1" applyBorder="1"/>
    <xf numFmtId="164" fontId="5" fillId="5" borderId="11" xfId="0" applyNumberFormat="1" applyFont="1" applyFill="1" applyBorder="1"/>
    <xf numFmtId="164" fontId="5" fillId="3" borderId="11" xfId="0" applyNumberFormat="1" applyFont="1" applyFill="1" applyBorder="1"/>
    <xf numFmtId="164" fontId="5" fillId="10" borderId="11" xfId="0" applyNumberFormat="1" applyFont="1" applyFill="1" applyBorder="1"/>
    <xf numFmtId="164" fontId="5" fillId="10" borderId="26" xfId="0" applyNumberFormat="1" applyFont="1" applyFill="1" applyBorder="1"/>
    <xf numFmtId="164" fontId="5" fillId="11" borderId="11" xfId="0" applyNumberFormat="1" applyFont="1" applyFill="1" applyBorder="1"/>
    <xf numFmtId="164" fontId="5" fillId="7" borderId="41" xfId="3" applyNumberFormat="1" applyFont="1" applyFill="1" applyBorder="1"/>
    <xf numFmtId="164" fontId="5" fillId="3" borderId="41" xfId="3" applyNumberFormat="1" applyFont="1" applyFill="1" applyBorder="1"/>
    <xf numFmtId="164" fontId="5" fillId="3" borderId="50" xfId="3" applyNumberFormat="1" applyFont="1" applyFill="1" applyBorder="1"/>
    <xf numFmtId="164" fontId="5" fillId="10" borderId="41" xfId="3" applyNumberFormat="1" applyFont="1" applyFill="1" applyBorder="1"/>
    <xf numFmtId="164" fontId="5" fillId="5" borderId="41" xfId="3" applyNumberFormat="1" applyFont="1" applyFill="1" applyBorder="1"/>
    <xf numFmtId="164" fontId="5" fillId="9" borderId="41" xfId="3" applyNumberFormat="1" applyFont="1" applyFill="1" applyBorder="1"/>
    <xf numFmtId="3" fontId="38" fillId="0" borderId="1" xfId="2" applyNumberFormat="1" applyFont="1" applyBorder="1"/>
    <xf numFmtId="3" fontId="39" fillId="0" borderId="1" xfId="0" applyNumberFormat="1" applyFont="1" applyBorder="1"/>
    <xf numFmtId="164" fontId="5" fillId="7" borderId="47" xfId="3" applyNumberFormat="1" applyFont="1" applyFill="1" applyBorder="1" applyAlignment="1">
      <alignment horizontal="right"/>
    </xf>
    <xf numFmtId="164" fontId="5" fillId="5" borderId="47" xfId="3" applyNumberFormat="1" applyFont="1" applyFill="1" applyBorder="1" applyAlignment="1">
      <alignment horizontal="right"/>
    </xf>
    <xf numFmtId="164" fontId="5" fillId="9" borderId="47" xfId="3" applyNumberFormat="1" applyFont="1" applyFill="1" applyBorder="1" applyAlignment="1">
      <alignment horizontal="right"/>
    </xf>
    <xf numFmtId="164" fontId="5" fillId="2" borderId="47" xfId="3" applyNumberFormat="1" applyFont="1" applyFill="1" applyBorder="1" applyAlignment="1">
      <alignment horizontal="right"/>
    </xf>
    <xf numFmtId="164" fontId="5" fillId="4" borderId="18" xfId="0" applyNumberFormat="1" applyFont="1" applyFill="1" applyBorder="1"/>
    <xf numFmtId="164" fontId="5" fillId="4" borderId="26" xfId="0" applyNumberFormat="1" applyFont="1" applyFill="1" applyBorder="1"/>
    <xf numFmtId="164" fontId="5" fillId="2" borderId="11" xfId="0" applyNumberFormat="1" applyFont="1" applyFill="1" applyBorder="1"/>
    <xf numFmtId="3" fontId="34" fillId="0" borderId="76" xfId="1" applyNumberFormat="1" applyFont="1" applyBorder="1" applyAlignment="1">
      <alignment horizontal="right" vertical="center"/>
    </xf>
    <xf numFmtId="9" fontId="5" fillId="7" borderId="2" xfId="3" applyFont="1" applyFill="1" applyBorder="1"/>
    <xf numFmtId="9" fontId="5" fillId="4" borderId="2" xfId="3" applyFont="1" applyFill="1" applyBorder="1"/>
    <xf numFmtId="9" fontId="5" fillId="7" borderId="1" xfId="3" applyFont="1" applyFill="1" applyBorder="1"/>
    <xf numFmtId="9" fontId="5" fillId="7" borderId="29" xfId="3" applyFont="1" applyFill="1" applyBorder="1"/>
    <xf numFmtId="9" fontId="5" fillId="5" borderId="2" xfId="3" applyFont="1" applyFill="1" applyBorder="1"/>
    <xf numFmtId="9" fontId="5" fillId="5" borderId="1" xfId="3" applyFont="1" applyFill="1" applyBorder="1"/>
    <xf numFmtId="9" fontId="5" fillId="9" borderId="2" xfId="3" applyFont="1" applyFill="1" applyBorder="1"/>
    <xf numFmtId="9" fontId="5" fillId="3" borderId="2" xfId="3" applyFont="1" applyFill="1" applyBorder="1"/>
    <xf numFmtId="9" fontId="5" fillId="2" borderId="43" xfId="3" applyFont="1" applyFill="1" applyBorder="1"/>
    <xf numFmtId="9" fontId="5" fillId="2" borderId="33" xfId="3" applyFont="1" applyFill="1" applyBorder="1"/>
    <xf numFmtId="9" fontId="5" fillId="3" borderId="1" xfId="3" applyFont="1" applyFill="1" applyBorder="1"/>
    <xf numFmtId="9" fontId="5" fillId="10" borderId="2" xfId="3" applyFont="1" applyFill="1" applyBorder="1"/>
    <xf numFmtId="9" fontId="5" fillId="0" borderId="35" xfId="3" applyFont="1" applyFill="1" applyBorder="1"/>
    <xf numFmtId="3" fontId="6" fillId="5" borderId="1" xfId="0" applyNumberFormat="1" applyFont="1" applyFill="1" applyBorder="1"/>
    <xf numFmtId="9" fontId="5" fillId="2" borderId="2" xfId="3" applyFont="1" applyFill="1" applyBorder="1"/>
    <xf numFmtId="164" fontId="5" fillId="3" borderId="15" xfId="3" applyNumberFormat="1" applyFont="1" applyFill="1" applyBorder="1"/>
    <xf numFmtId="164" fontId="5" fillId="3" borderId="4" xfId="3" applyNumberFormat="1" applyFont="1" applyFill="1" applyBorder="1"/>
    <xf numFmtId="164" fontId="5" fillId="10" borderId="15" xfId="3" applyNumberFormat="1" applyFont="1" applyFill="1" applyBorder="1"/>
    <xf numFmtId="164" fontId="5" fillId="11" borderId="15" xfId="3" applyNumberFormat="1" applyFont="1" applyFill="1" applyBorder="1"/>
    <xf numFmtId="164" fontId="5" fillId="7" borderId="15" xfId="3" applyNumberFormat="1" applyFont="1" applyFill="1" applyBorder="1"/>
    <xf numFmtId="164" fontId="5" fillId="5" borderId="15" xfId="3" applyNumberFormat="1" applyFont="1" applyFill="1" applyBorder="1"/>
    <xf numFmtId="164" fontId="5" fillId="9" borderId="15" xfId="3" applyNumberFormat="1" applyFont="1" applyFill="1" applyBorder="1"/>
    <xf numFmtId="164" fontId="5" fillId="3" borderId="18" xfId="0" applyNumberFormat="1" applyFont="1" applyFill="1" applyBorder="1"/>
    <xf numFmtId="164" fontId="5" fillId="3" borderId="26" xfId="0" applyNumberFormat="1" applyFont="1" applyFill="1" applyBorder="1"/>
    <xf numFmtId="164" fontId="5" fillId="11" borderId="41" xfId="3" applyNumberFormat="1" applyFont="1" applyFill="1" applyBorder="1"/>
    <xf numFmtId="164" fontId="5" fillId="3" borderId="18" xfId="3" applyNumberFormat="1" applyFont="1" applyFill="1" applyBorder="1"/>
    <xf numFmtId="164" fontId="5" fillId="3" borderId="11" xfId="3" applyNumberFormat="1" applyFont="1" applyFill="1" applyBorder="1"/>
    <xf numFmtId="164" fontId="5" fillId="3" borderId="26" xfId="3" applyNumberFormat="1" applyFont="1" applyFill="1" applyBorder="1"/>
    <xf numFmtId="164" fontId="5" fillId="7" borderId="11" xfId="3" applyNumberFormat="1" applyFont="1" applyFill="1" applyBorder="1"/>
    <xf numFmtId="164" fontId="5" fillId="7" borderId="65" xfId="0" applyNumberFormat="1" applyFont="1" applyFill="1" applyBorder="1"/>
    <xf numFmtId="164" fontId="5" fillId="5" borderId="65" xfId="0" applyNumberFormat="1" applyFont="1" applyFill="1" applyBorder="1"/>
    <xf numFmtId="164" fontId="5" fillId="9" borderId="65" xfId="0" applyNumberFormat="1" applyFont="1" applyFill="1" applyBorder="1"/>
    <xf numFmtId="164" fontId="5" fillId="4" borderId="41" xfId="0" applyNumberFormat="1" applyFont="1" applyFill="1" applyBorder="1"/>
    <xf numFmtId="164" fontId="5" fillId="4" borderId="65" xfId="0" applyNumberFormat="1" applyFont="1" applyFill="1" applyBorder="1"/>
    <xf numFmtId="164" fontId="5" fillId="4" borderId="67" xfId="0" applyNumberFormat="1" applyFont="1" applyFill="1" applyBorder="1"/>
    <xf numFmtId="164" fontId="5" fillId="3" borderId="65" xfId="0" applyNumberFormat="1" applyFont="1" applyFill="1" applyBorder="1"/>
    <xf numFmtId="164" fontId="5" fillId="10" borderId="65" xfId="0" applyNumberFormat="1" applyFont="1" applyFill="1" applyBorder="1"/>
    <xf numFmtId="164" fontId="5" fillId="11" borderId="65" xfId="0" applyNumberFormat="1" applyFont="1" applyFill="1" applyBorder="1"/>
    <xf numFmtId="164" fontId="5" fillId="2" borderId="65" xfId="0" applyNumberFormat="1" applyFont="1" applyFill="1" applyBorder="1"/>
    <xf numFmtId="164" fontId="5" fillId="0" borderId="11" xfId="3" applyNumberFormat="1" applyFont="1" applyBorder="1"/>
    <xf numFmtId="1" fontId="5" fillId="0" borderId="10" xfId="3" applyNumberFormat="1" applyFont="1" applyBorder="1"/>
    <xf numFmtId="1" fontId="5" fillId="0" borderId="11" xfId="0" applyNumberFormat="1" applyFont="1" applyBorder="1"/>
    <xf numFmtId="164" fontId="5" fillId="4" borderId="64" xfId="3" applyNumberFormat="1" applyFont="1" applyFill="1" applyBorder="1" applyAlignment="1">
      <alignment horizontal="right"/>
    </xf>
    <xf numFmtId="164" fontId="5" fillId="9" borderId="64" xfId="3" applyNumberFormat="1" applyFont="1" applyFill="1" applyBorder="1" applyAlignment="1">
      <alignment horizontal="right"/>
    </xf>
    <xf numFmtId="164" fontId="5" fillId="5" borderId="67" xfId="0" applyNumberFormat="1" applyFont="1" applyFill="1" applyBorder="1"/>
    <xf numFmtId="164" fontId="5" fillId="4" borderId="41" xfId="3" applyNumberFormat="1" applyFont="1" applyFill="1" applyBorder="1"/>
    <xf numFmtId="1" fontId="31" fillId="0" borderId="24" xfId="1" applyNumberFormat="1" applyFont="1" applyBorder="1" applyAlignment="1">
      <alignment horizontal="right" vertical="center"/>
    </xf>
    <xf numFmtId="1" fontId="6" fillId="0" borderId="26" xfId="0" applyNumberFormat="1" applyFont="1" applyBorder="1"/>
    <xf numFmtId="0" fontId="8" fillId="8" borderId="7" xfId="1" applyFont="1" applyFill="1" applyBorder="1" applyAlignment="1">
      <alignment horizontal="center" wrapText="1"/>
    </xf>
    <xf numFmtId="0" fontId="8" fillId="8" borderId="10" xfId="1" applyFont="1" applyFill="1" applyBorder="1" applyAlignment="1">
      <alignment horizontal="center" wrapText="1"/>
    </xf>
    <xf numFmtId="0" fontId="8" fillId="8" borderId="12" xfId="1" applyFont="1" applyFill="1" applyBorder="1" applyAlignment="1">
      <alignment horizontal="center" wrapText="1"/>
    </xf>
    <xf numFmtId="0" fontId="8" fillId="8" borderId="9" xfId="1" applyFont="1" applyFill="1" applyBorder="1" applyAlignment="1">
      <alignment horizontal="center" wrapText="1"/>
    </xf>
    <xf numFmtId="0" fontId="8" fillId="8" borderId="11" xfId="1" applyFont="1" applyFill="1" applyBorder="1" applyAlignment="1">
      <alignment horizontal="center" wrapText="1"/>
    </xf>
    <xf numFmtId="0" fontId="8" fillId="8" borderId="14" xfId="1" applyFont="1" applyFill="1" applyBorder="1" applyAlignment="1">
      <alignment horizontal="center" wrapText="1"/>
    </xf>
    <xf numFmtId="0" fontId="5" fillId="2" borderId="44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 wrapText="1"/>
    </xf>
    <xf numFmtId="0" fontId="5" fillId="2" borderId="39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 wrapText="1"/>
    </xf>
    <xf numFmtId="0" fontId="5" fillId="2" borderId="14" xfId="2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5" fillId="5" borderId="42" xfId="0" applyFont="1" applyFill="1" applyBorder="1" applyAlignment="1">
      <alignment horizontal="center" wrapText="1"/>
    </xf>
    <xf numFmtId="0" fontId="8" fillId="8" borderId="51" xfId="1" applyFont="1" applyFill="1" applyBorder="1" applyAlignment="1">
      <alignment horizontal="center" wrapText="1"/>
    </xf>
    <xf numFmtId="0" fontId="8" fillId="8" borderId="16" xfId="1" applyFont="1" applyFill="1" applyBorder="1" applyAlignment="1">
      <alignment horizontal="center" wrapText="1"/>
    </xf>
    <xf numFmtId="0" fontId="8" fillId="8" borderId="38" xfId="1" applyFont="1" applyFill="1" applyBorder="1" applyAlignment="1">
      <alignment horizontal="center" wrapText="1"/>
    </xf>
    <xf numFmtId="0" fontId="8" fillId="8" borderId="52" xfId="1" applyFont="1" applyFill="1" applyBorder="1" applyAlignment="1">
      <alignment horizontal="center" wrapText="1"/>
    </xf>
    <xf numFmtId="0" fontId="8" fillId="8" borderId="20" xfId="1" applyFont="1" applyFill="1" applyBorder="1" applyAlignment="1">
      <alignment horizontal="center" wrapText="1"/>
    </xf>
    <xf numFmtId="0" fontId="8" fillId="8" borderId="53" xfId="1" applyFont="1" applyFill="1" applyBorder="1" applyAlignment="1">
      <alignment horizontal="center" wrapText="1"/>
    </xf>
    <xf numFmtId="0" fontId="8" fillId="8" borderId="3" xfId="1" applyFont="1" applyFill="1" applyBorder="1" applyAlignment="1">
      <alignment horizontal="center" wrapText="1"/>
    </xf>
    <xf numFmtId="0" fontId="8" fillId="8" borderId="4" xfId="1" applyFont="1" applyFill="1" applyBorder="1" applyAlignment="1">
      <alignment horizontal="center" wrapText="1"/>
    </xf>
    <xf numFmtId="0" fontId="8" fillId="8" borderId="5" xfId="1" applyFont="1" applyFill="1" applyBorder="1" applyAlignment="1">
      <alignment horizontal="center" wrapText="1"/>
    </xf>
    <xf numFmtId="0" fontId="20" fillId="8" borderId="7" xfId="1" applyFont="1" applyFill="1" applyBorder="1" applyAlignment="1">
      <alignment horizontal="center" wrapText="1"/>
    </xf>
    <xf numFmtId="0" fontId="20" fillId="8" borderId="10" xfId="1" applyFont="1" applyFill="1" applyBorder="1" applyAlignment="1">
      <alignment horizontal="center" wrapText="1"/>
    </xf>
    <xf numFmtId="0" fontId="20" fillId="8" borderId="12" xfId="1" applyFont="1" applyFill="1" applyBorder="1" applyAlignment="1">
      <alignment horizontal="center" wrapText="1"/>
    </xf>
    <xf numFmtId="0" fontId="20" fillId="8" borderId="9" xfId="1" applyFont="1" applyFill="1" applyBorder="1" applyAlignment="1">
      <alignment horizontal="center" wrapText="1"/>
    </xf>
    <xf numFmtId="0" fontId="20" fillId="8" borderId="11" xfId="1" applyFont="1" applyFill="1" applyBorder="1" applyAlignment="1">
      <alignment horizontal="center" wrapText="1"/>
    </xf>
    <xf numFmtId="0" fontId="20" fillId="8" borderId="14" xfId="1" applyFont="1" applyFill="1" applyBorder="1" applyAlignment="1">
      <alignment horizontal="center" wrapText="1"/>
    </xf>
    <xf numFmtId="0" fontId="20" fillId="8" borderId="51" xfId="1" applyFont="1" applyFill="1" applyBorder="1" applyAlignment="1">
      <alignment horizontal="center" wrapText="1"/>
    </xf>
    <xf numFmtId="0" fontId="20" fillId="8" borderId="16" xfId="1" applyFont="1" applyFill="1" applyBorder="1" applyAlignment="1">
      <alignment horizontal="center" wrapText="1"/>
    </xf>
    <xf numFmtId="0" fontId="20" fillId="8" borderId="38" xfId="1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55" xfId="0" applyFont="1" applyFill="1" applyBorder="1" applyAlignment="1">
      <alignment horizontal="center"/>
    </xf>
    <xf numFmtId="0" fontId="5" fillId="13" borderId="55" xfId="0" applyFont="1" applyFill="1" applyBorder="1" applyAlignment="1">
      <alignment horizontal="center"/>
    </xf>
  </cellXfs>
  <cellStyles count="5">
    <cellStyle name="Normaallaad" xfId="0" builtinId="0"/>
    <cellStyle name="Normal 2" xfId="1" xr:uid="{E69335C7-6EA7-49D0-AEDF-73E7D8654B64}"/>
    <cellStyle name="Normal 2 2" xfId="4" xr:uid="{95DCEA22-4CD8-4F61-B304-E75D794A8D62}"/>
    <cellStyle name="Normal 7" xfId="2" xr:uid="{62C5986D-FA94-4F9C-A929-55A63E847D80}"/>
    <cellStyle name="Protsent" xfId="3" builtinId="5"/>
  </cellStyles>
  <dxfs count="6"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T550/Desktop/Hooldereform%20-%20kokkuv&#245;tted,%20AR,%20anal&#252;&#252;sid%20-%20ELVL/Hooldereform%20-%20kokkuv&#245;tted,%20AR,%20anal&#252;&#252;sid,%20RPM,%20SOM,%20teised/pikaajaline%20hooldus%20hor%20tulud%20lisavahendid%202024%20toetf%20tasf%20kov%20est%20kov%2024.01%20rpm%20agri.ee.xlsx?70727F55" TargetMode="External"/><Relationship Id="rId1" Type="http://schemas.openxmlformats.org/officeDocument/2006/relationships/externalLinkPath" Target="file:///\\70727F55\pikaajaline%20hooldus%20hor%20tulud%20lisavahendid%202024%20toetf%20tasf%20kov%20est%20kov%2024.01%20rpm%20agri.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ldharidus"/>
      <sheetName val="Huvitegevus"/>
      <sheetName val="Lasteaed"/>
      <sheetName val="Toimetulekutoetus"/>
      <sheetName val="Abivajadusega lapsed"/>
      <sheetName val="Rahvastikutoimingud"/>
      <sheetName val="Rahvastikutoimingud Ukraina"/>
      <sheetName val="Kohalikud teed"/>
      <sheetName val="Üleantud teed"/>
      <sheetName val="Tasandusfond"/>
      <sheetName val="KOOND"/>
      <sheetName val="Haridustoetus"/>
      <sheetName val="Tulumaks 2021-2024"/>
      <sheetName val="Tasandusfond KOV vaates"/>
      <sheetName val="Pikaajaline hoold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S4">
            <v>0</v>
          </cell>
          <cell r="AX4">
            <v>0</v>
          </cell>
          <cell r="AY4">
            <v>6633535.0999999996</v>
          </cell>
        </row>
        <row r="5">
          <cell r="AS5">
            <v>0</v>
          </cell>
          <cell r="AX5">
            <v>0</v>
          </cell>
          <cell r="AY5">
            <v>11265230.229999999</v>
          </cell>
        </row>
        <row r="6">
          <cell r="AS6">
            <v>0</v>
          </cell>
          <cell r="AX6">
            <v>0</v>
          </cell>
          <cell r="AY6">
            <v>5985233.4100000001</v>
          </cell>
        </row>
        <row r="7">
          <cell r="AS7">
            <v>0</v>
          </cell>
          <cell r="AX7">
            <v>0</v>
          </cell>
          <cell r="AY7">
            <v>8772481.6400000006</v>
          </cell>
        </row>
        <row r="8">
          <cell r="AS8">
            <v>0</v>
          </cell>
          <cell r="AX8">
            <v>0</v>
          </cell>
          <cell r="AY8">
            <v>3542582.82</v>
          </cell>
        </row>
        <row r="9">
          <cell r="AS9">
            <v>27840</v>
          </cell>
          <cell r="AX9">
            <v>0</v>
          </cell>
          <cell r="AY9">
            <v>6300279.3499999996</v>
          </cell>
        </row>
        <row r="10">
          <cell r="AS10">
            <v>41760</v>
          </cell>
          <cell r="AX10">
            <v>0</v>
          </cell>
          <cell r="AY10">
            <v>6912081.0200000005</v>
          </cell>
        </row>
        <row r="11">
          <cell r="AS11">
            <v>0</v>
          </cell>
          <cell r="AX11">
            <v>0</v>
          </cell>
          <cell r="AY11">
            <v>3521546.6399999997</v>
          </cell>
        </row>
        <row r="12">
          <cell r="AS12">
            <v>0</v>
          </cell>
          <cell r="AX12">
            <v>0</v>
          </cell>
          <cell r="AY12">
            <v>13107384.48</v>
          </cell>
        </row>
        <row r="13">
          <cell r="AS13">
            <v>0</v>
          </cell>
          <cell r="AX13">
            <v>0</v>
          </cell>
          <cell r="AY13">
            <v>16625640.419999998</v>
          </cell>
        </row>
        <row r="14">
          <cell r="AS14">
            <v>0</v>
          </cell>
          <cell r="AX14">
            <v>0</v>
          </cell>
          <cell r="AY14">
            <v>4226662.43</v>
          </cell>
        </row>
        <row r="15">
          <cell r="AS15">
            <v>0</v>
          </cell>
          <cell r="AX15">
            <v>0</v>
          </cell>
          <cell r="AY15">
            <v>9766503.0499999989</v>
          </cell>
        </row>
        <row r="16">
          <cell r="AS16">
            <v>0</v>
          </cell>
          <cell r="AX16">
            <v>0</v>
          </cell>
          <cell r="AY16">
            <v>8147818.8899999997</v>
          </cell>
        </row>
        <row r="17">
          <cell r="AS17">
            <v>0</v>
          </cell>
          <cell r="AX17">
            <v>0</v>
          </cell>
          <cell r="AY17">
            <v>18448011.939999998</v>
          </cell>
        </row>
        <row r="18">
          <cell r="AS18">
            <v>0</v>
          </cell>
          <cell r="AX18">
            <v>0</v>
          </cell>
          <cell r="AY18">
            <v>403831708.70000005</v>
          </cell>
        </row>
        <row r="19">
          <cell r="AS19">
            <v>0</v>
          </cell>
          <cell r="AX19">
            <v>0</v>
          </cell>
          <cell r="AY19">
            <v>16610052.310000001</v>
          </cell>
        </row>
        <row r="20">
          <cell r="AS20">
            <v>0</v>
          </cell>
          <cell r="AX20">
            <v>0</v>
          </cell>
          <cell r="AY20">
            <v>11549803.73</v>
          </cell>
        </row>
        <row r="21">
          <cell r="AS21">
            <v>0</v>
          </cell>
          <cell r="AX21">
            <v>15397.491817381349</v>
          </cell>
          <cell r="AY21">
            <v>5587506.6000000006</v>
          </cell>
        </row>
        <row r="22">
          <cell r="AS22">
            <v>0</v>
          </cell>
          <cell r="AX22">
            <v>0</v>
          </cell>
          <cell r="AY22">
            <v>14977336.130000001</v>
          </cell>
        </row>
        <row r="23">
          <cell r="AS23">
            <v>0</v>
          </cell>
          <cell r="AX23">
            <v>0</v>
          </cell>
          <cell r="AY23">
            <v>42522979.270000003</v>
          </cell>
        </row>
        <row r="24">
          <cell r="AS24">
            <v>0</v>
          </cell>
          <cell r="AX24">
            <v>33133.860639717313</v>
          </cell>
          <cell r="AY24">
            <v>11591247.75</v>
          </cell>
        </row>
        <row r="25">
          <cell r="AS25">
            <v>0</v>
          </cell>
          <cell r="AX25">
            <v>0</v>
          </cell>
          <cell r="AY25">
            <v>64332175.409999996</v>
          </cell>
        </row>
        <row r="26">
          <cell r="AS26">
            <v>0</v>
          </cell>
          <cell r="AX26">
            <v>0</v>
          </cell>
          <cell r="AY26">
            <v>5996425.4800000004</v>
          </cell>
        </row>
        <row r="27">
          <cell r="AS27">
            <v>0</v>
          </cell>
          <cell r="AX27">
            <v>0</v>
          </cell>
          <cell r="AY27">
            <v>17570446.300000001</v>
          </cell>
        </row>
        <row r="28">
          <cell r="AS28">
            <v>0</v>
          </cell>
          <cell r="AX28">
            <v>0</v>
          </cell>
          <cell r="AY28">
            <v>5689799.75</v>
          </cell>
        </row>
        <row r="29">
          <cell r="AS29">
            <v>6960</v>
          </cell>
          <cell r="AX29">
            <v>258309.16714816168</v>
          </cell>
          <cell r="AY29">
            <v>15217887.859999998</v>
          </cell>
        </row>
        <row r="30">
          <cell r="AS30">
            <v>0</v>
          </cell>
          <cell r="AX30">
            <v>120292.14572420172</v>
          </cell>
          <cell r="AY30">
            <v>6306646.4800000004</v>
          </cell>
        </row>
        <row r="31">
          <cell r="AS31">
            <v>104400</v>
          </cell>
          <cell r="AX31">
            <v>167773.12085795292</v>
          </cell>
          <cell r="AY31">
            <v>11060455.34</v>
          </cell>
        </row>
        <row r="32">
          <cell r="AS32">
            <v>6960</v>
          </cell>
          <cell r="AX32">
            <v>134021.96130870021</v>
          </cell>
          <cell r="AY32">
            <v>9338071.0999999996</v>
          </cell>
        </row>
        <row r="33">
          <cell r="AS33">
            <v>0</v>
          </cell>
          <cell r="AX33">
            <v>0</v>
          </cell>
          <cell r="AY33">
            <v>11896655.529999999</v>
          </cell>
        </row>
        <row r="34">
          <cell r="AS34">
            <v>0</v>
          </cell>
          <cell r="AX34">
            <v>0</v>
          </cell>
          <cell r="AY34">
            <v>12831438.380000001</v>
          </cell>
        </row>
        <row r="35">
          <cell r="AS35">
            <v>0</v>
          </cell>
          <cell r="AX35">
            <v>0</v>
          </cell>
          <cell r="AY35">
            <v>15956607.5</v>
          </cell>
        </row>
        <row r="36">
          <cell r="AS36">
            <v>111360</v>
          </cell>
          <cell r="AX36">
            <v>0</v>
          </cell>
          <cell r="AY36">
            <v>7967397.25</v>
          </cell>
        </row>
        <row r="37">
          <cell r="AS37">
            <v>0</v>
          </cell>
          <cell r="AX37">
            <v>0</v>
          </cell>
          <cell r="AY37">
            <v>523407.99000000005</v>
          </cell>
        </row>
        <row r="38">
          <cell r="AS38">
            <v>0</v>
          </cell>
          <cell r="AX38">
            <v>0</v>
          </cell>
          <cell r="AY38">
            <v>4998930.28</v>
          </cell>
        </row>
        <row r="39">
          <cell r="AS39">
            <v>0</v>
          </cell>
          <cell r="AX39">
            <v>7528.5213903625845</v>
          </cell>
          <cell r="AY39">
            <v>4652998.8199999994</v>
          </cell>
        </row>
        <row r="40">
          <cell r="AS40">
            <v>0</v>
          </cell>
          <cell r="AX40">
            <v>0</v>
          </cell>
          <cell r="AY40">
            <v>5495160.8600000003</v>
          </cell>
        </row>
        <row r="41">
          <cell r="AS41">
            <v>0</v>
          </cell>
          <cell r="AX41">
            <v>0</v>
          </cell>
          <cell r="AY41">
            <v>15546529.580000002</v>
          </cell>
        </row>
        <row r="42">
          <cell r="AS42">
            <v>0</v>
          </cell>
          <cell r="AX42">
            <v>151693.50944611715</v>
          </cell>
          <cell r="AY42">
            <v>12253187.02</v>
          </cell>
        </row>
        <row r="43">
          <cell r="AS43">
            <v>0</v>
          </cell>
          <cell r="AX43">
            <v>51302.985817278561</v>
          </cell>
          <cell r="AY43">
            <v>6805147.4699999997</v>
          </cell>
        </row>
        <row r="44">
          <cell r="AS44">
            <v>0</v>
          </cell>
          <cell r="AX44">
            <v>15146.561433686002</v>
          </cell>
          <cell r="AY44">
            <v>6975636.5999999996</v>
          </cell>
        </row>
        <row r="45">
          <cell r="AS45">
            <v>41760</v>
          </cell>
          <cell r="AX45">
            <v>31735.495854248758</v>
          </cell>
          <cell r="AY45">
            <v>6234237.6600000001</v>
          </cell>
        </row>
        <row r="46">
          <cell r="AS46">
            <v>48720</v>
          </cell>
          <cell r="AX46">
            <v>155658.21961998878</v>
          </cell>
          <cell r="AY46">
            <v>5029599.1100000003</v>
          </cell>
        </row>
        <row r="47">
          <cell r="AS47">
            <v>0</v>
          </cell>
          <cell r="AX47">
            <v>151303.60563466325</v>
          </cell>
          <cell r="AY47">
            <v>15146575.890000001</v>
          </cell>
        </row>
        <row r="48">
          <cell r="AS48">
            <v>0</v>
          </cell>
          <cell r="AX48">
            <v>163013.33325272537</v>
          </cell>
          <cell r="AY48">
            <v>7165634.79</v>
          </cell>
        </row>
        <row r="49">
          <cell r="AS49">
            <v>0</v>
          </cell>
          <cell r="AX49">
            <v>57753.838773706404</v>
          </cell>
          <cell r="AY49">
            <v>4887867.13</v>
          </cell>
        </row>
        <row r="50">
          <cell r="AS50">
            <v>0</v>
          </cell>
          <cell r="AX50">
            <v>0</v>
          </cell>
          <cell r="AY50">
            <v>638828.05999999994</v>
          </cell>
        </row>
        <row r="51">
          <cell r="AS51">
            <v>0</v>
          </cell>
          <cell r="AX51">
            <v>59993.86851152376</v>
          </cell>
          <cell r="AY51">
            <v>6224605.0299999993</v>
          </cell>
        </row>
        <row r="52">
          <cell r="AS52">
            <v>0</v>
          </cell>
          <cell r="AX52">
            <v>94975.6091089127</v>
          </cell>
          <cell r="AY52">
            <v>9485563.6799999997</v>
          </cell>
        </row>
        <row r="53">
          <cell r="AS53">
            <v>0</v>
          </cell>
          <cell r="AX53">
            <v>54717.082935031038</v>
          </cell>
          <cell r="AY53">
            <v>54858643.519999996</v>
          </cell>
        </row>
        <row r="54">
          <cell r="AS54">
            <v>0</v>
          </cell>
          <cell r="AX54">
            <v>97637.329917660682</v>
          </cell>
          <cell r="AY54">
            <v>5204768.74</v>
          </cell>
        </row>
        <row r="55">
          <cell r="AS55">
            <v>20880</v>
          </cell>
          <cell r="AX55">
            <v>0</v>
          </cell>
          <cell r="AY55">
            <v>10842776.93</v>
          </cell>
        </row>
        <row r="56">
          <cell r="AS56">
            <v>0</v>
          </cell>
          <cell r="AX56">
            <v>9783.1301388859283</v>
          </cell>
          <cell r="AY56">
            <v>5812069.2699999996</v>
          </cell>
        </row>
        <row r="57">
          <cell r="AS57">
            <v>0</v>
          </cell>
          <cell r="AX57">
            <v>0</v>
          </cell>
          <cell r="AY57">
            <v>6104091.9000000004</v>
          </cell>
        </row>
        <row r="58">
          <cell r="AS58">
            <v>6960</v>
          </cell>
          <cell r="AX58">
            <v>131900.49369320465</v>
          </cell>
          <cell r="AY58">
            <v>8207782.6999999993</v>
          </cell>
        </row>
        <row r="59">
          <cell r="AS59">
            <v>0</v>
          </cell>
          <cell r="AX59">
            <v>35155.536655757111</v>
          </cell>
          <cell r="AY59">
            <v>14006659.859999999</v>
          </cell>
        </row>
        <row r="60">
          <cell r="AS60">
            <v>0</v>
          </cell>
          <cell r="AX60">
            <v>32045.573361158167</v>
          </cell>
          <cell r="AY60">
            <v>2406730.89</v>
          </cell>
        </row>
        <row r="61">
          <cell r="AS61">
            <v>0</v>
          </cell>
          <cell r="AX61">
            <v>0</v>
          </cell>
          <cell r="AY61">
            <v>100612.24</v>
          </cell>
        </row>
        <row r="62">
          <cell r="AS62">
            <v>215760</v>
          </cell>
          <cell r="AX62">
            <v>0</v>
          </cell>
          <cell r="AY62">
            <v>33054512.379999999</v>
          </cell>
        </row>
        <row r="63">
          <cell r="AS63">
            <v>0</v>
          </cell>
          <cell r="AX63">
            <v>10414.758337795618</v>
          </cell>
          <cell r="AY63">
            <v>14900419.720000001</v>
          </cell>
        </row>
        <row r="64">
          <cell r="AS64">
            <v>13920</v>
          </cell>
          <cell r="AX64">
            <v>0</v>
          </cell>
          <cell r="AY64">
            <v>7641895.8699999992</v>
          </cell>
        </row>
        <row r="65">
          <cell r="AS65">
            <v>0</v>
          </cell>
          <cell r="AX65">
            <v>7227.7584460251092</v>
          </cell>
          <cell r="AY65">
            <v>4448449.29</v>
          </cell>
        </row>
        <row r="66">
          <cell r="AS66">
            <v>0</v>
          </cell>
          <cell r="AX66">
            <v>0</v>
          </cell>
          <cell r="AY66">
            <v>3121827.3000000003</v>
          </cell>
        </row>
        <row r="67">
          <cell r="AS67">
            <v>0</v>
          </cell>
          <cell r="AX67">
            <v>0</v>
          </cell>
          <cell r="AY67">
            <v>3698093.19</v>
          </cell>
        </row>
        <row r="68">
          <cell r="AS68">
            <v>0</v>
          </cell>
          <cell r="AX68">
            <v>73585.876175191777</v>
          </cell>
          <cell r="AY68">
            <v>5774989.0699999994</v>
          </cell>
        </row>
        <row r="69">
          <cell r="AS69">
            <v>0</v>
          </cell>
          <cell r="AX69">
            <v>37333.380691911676</v>
          </cell>
          <cell r="AY69">
            <v>8244847.3200000003</v>
          </cell>
        </row>
        <row r="70">
          <cell r="AS70">
            <v>0</v>
          </cell>
          <cell r="AX70">
            <v>149360.19383851113</v>
          </cell>
          <cell r="AY70">
            <v>87302214.449999988</v>
          </cell>
        </row>
        <row r="71">
          <cell r="AS71">
            <v>0</v>
          </cell>
          <cell r="AX71">
            <v>94993.7710952161</v>
          </cell>
          <cell r="AY71">
            <v>6720009.6800000006</v>
          </cell>
        </row>
        <row r="72">
          <cell r="AS72">
            <v>0</v>
          </cell>
          <cell r="AX72">
            <v>108766.46109920647</v>
          </cell>
          <cell r="AY72">
            <v>6837083.8799999999</v>
          </cell>
        </row>
        <row r="73">
          <cell r="AS73">
            <v>0</v>
          </cell>
          <cell r="AX73">
            <v>93203.874921791954</v>
          </cell>
          <cell r="AY73">
            <v>16732500.5</v>
          </cell>
        </row>
        <row r="74">
          <cell r="AS74">
            <v>0</v>
          </cell>
          <cell r="AX74">
            <v>227795.08202863921</v>
          </cell>
          <cell r="AY74">
            <v>8977629.7400000002</v>
          </cell>
        </row>
        <row r="75">
          <cell r="AS75">
            <v>0</v>
          </cell>
          <cell r="AX75">
            <v>200245.65332740638</v>
          </cell>
          <cell r="AY75">
            <v>8975586.1899999995</v>
          </cell>
        </row>
        <row r="76">
          <cell r="AS76">
            <v>0</v>
          </cell>
          <cell r="AX76">
            <v>142941.13800757099</v>
          </cell>
          <cell r="AY76">
            <v>14573180.240000002</v>
          </cell>
        </row>
        <row r="77">
          <cell r="AS77">
            <v>0</v>
          </cell>
          <cell r="AX77">
            <v>66371.877238315297</v>
          </cell>
          <cell r="AY77">
            <v>19597619.200000003</v>
          </cell>
        </row>
        <row r="78">
          <cell r="AS78">
            <v>0</v>
          </cell>
          <cell r="AX78">
            <v>69855.943535949365</v>
          </cell>
          <cell r="AY78">
            <v>4686850.4399999995</v>
          </cell>
        </row>
        <row r="79">
          <cell r="AS79">
            <v>0</v>
          </cell>
          <cell r="AX79">
            <v>18761.462768182682</v>
          </cell>
          <cell r="AY79">
            <v>6148668.5300000003</v>
          </cell>
        </row>
        <row r="80">
          <cell r="AS80">
            <v>0</v>
          </cell>
          <cell r="AX80">
            <v>82157.36751162319</v>
          </cell>
          <cell r="AY80">
            <v>3172762.3100000005</v>
          </cell>
        </row>
        <row r="81">
          <cell r="AS81">
            <v>0</v>
          </cell>
          <cell r="AX81">
            <v>133939.91815238725</v>
          </cell>
          <cell r="AY81">
            <v>10633173.379999999</v>
          </cell>
        </row>
        <row r="82">
          <cell r="AS82">
            <v>0</v>
          </cell>
          <cell r="AX82">
            <v>75319.75647151086</v>
          </cell>
          <cell r="AY82">
            <v>13399711.750000002</v>
          </cell>
        </row>
        <row r="83">
          <cell r="AY83">
            <v>1322339702.74</v>
          </cell>
        </row>
        <row r="84">
          <cell r="AY84">
            <v>4570000</v>
          </cell>
        </row>
      </sheetData>
      <sheetData sheetId="10" refreshError="1"/>
      <sheetData sheetId="11" refreshError="1"/>
      <sheetData sheetId="12">
        <row r="4">
          <cell r="K4">
            <v>338000</v>
          </cell>
        </row>
        <row r="5">
          <cell r="K5">
            <v>568000</v>
          </cell>
        </row>
        <row r="6">
          <cell r="K6">
            <v>303000</v>
          </cell>
        </row>
        <row r="7">
          <cell r="K7">
            <v>443000</v>
          </cell>
        </row>
        <row r="8">
          <cell r="K8">
            <v>179000</v>
          </cell>
        </row>
        <row r="9">
          <cell r="K9">
            <v>320000</v>
          </cell>
        </row>
        <row r="10">
          <cell r="K10">
            <v>351000</v>
          </cell>
        </row>
        <row r="11">
          <cell r="K11">
            <v>180000</v>
          </cell>
        </row>
        <row r="12">
          <cell r="K12">
            <v>666000</v>
          </cell>
        </row>
        <row r="13">
          <cell r="K13">
            <v>842000</v>
          </cell>
        </row>
        <row r="14">
          <cell r="K14">
            <v>215000</v>
          </cell>
        </row>
        <row r="15">
          <cell r="K15">
            <v>493000</v>
          </cell>
        </row>
        <row r="16">
          <cell r="K16">
            <v>414000</v>
          </cell>
        </row>
        <row r="17">
          <cell r="K17">
            <v>936000</v>
          </cell>
        </row>
        <row r="18">
          <cell r="K18">
            <v>20547000</v>
          </cell>
        </row>
        <row r="19">
          <cell r="K19">
            <v>841000</v>
          </cell>
        </row>
        <row r="20">
          <cell r="K20">
            <v>586000</v>
          </cell>
        </row>
        <row r="21">
          <cell r="K21">
            <v>283000</v>
          </cell>
        </row>
        <row r="22">
          <cell r="K22">
            <v>762000</v>
          </cell>
        </row>
        <row r="23">
          <cell r="K23">
            <v>2164000</v>
          </cell>
        </row>
        <row r="24">
          <cell r="K24">
            <v>591000</v>
          </cell>
        </row>
        <row r="25">
          <cell r="K25">
            <v>3273000</v>
          </cell>
        </row>
        <row r="26">
          <cell r="K26">
            <v>304000</v>
          </cell>
        </row>
        <row r="27">
          <cell r="K27">
            <v>895000</v>
          </cell>
        </row>
        <row r="28">
          <cell r="K28">
            <v>288000</v>
          </cell>
        </row>
        <row r="29">
          <cell r="K29">
            <v>775000</v>
          </cell>
        </row>
        <row r="30">
          <cell r="K30">
            <v>322000</v>
          </cell>
        </row>
        <row r="31">
          <cell r="K31">
            <v>566000</v>
          </cell>
        </row>
        <row r="32">
          <cell r="K32">
            <v>475000</v>
          </cell>
        </row>
        <row r="33">
          <cell r="K33">
            <v>605000</v>
          </cell>
        </row>
        <row r="34">
          <cell r="K34">
            <v>653000</v>
          </cell>
        </row>
        <row r="35">
          <cell r="K35">
            <v>813000</v>
          </cell>
        </row>
        <row r="36">
          <cell r="K36">
            <v>405000</v>
          </cell>
        </row>
        <row r="37">
          <cell r="K37">
            <v>27000</v>
          </cell>
        </row>
        <row r="38">
          <cell r="K38">
            <v>253000</v>
          </cell>
        </row>
        <row r="39">
          <cell r="K39">
            <v>237000</v>
          </cell>
        </row>
        <row r="40">
          <cell r="K40">
            <v>279000</v>
          </cell>
        </row>
        <row r="41">
          <cell r="K41">
            <v>793000</v>
          </cell>
        </row>
        <row r="42">
          <cell r="K42">
            <v>624000</v>
          </cell>
        </row>
        <row r="43">
          <cell r="K43">
            <v>345000</v>
          </cell>
        </row>
        <row r="44">
          <cell r="K44">
            <v>356000</v>
          </cell>
        </row>
        <row r="45">
          <cell r="K45">
            <v>318000</v>
          </cell>
        </row>
        <row r="46">
          <cell r="K46">
            <v>258000</v>
          </cell>
        </row>
        <row r="47">
          <cell r="K47">
            <v>770000</v>
          </cell>
        </row>
        <row r="48">
          <cell r="K48">
            <v>364000</v>
          </cell>
        </row>
        <row r="49">
          <cell r="K49">
            <v>247000</v>
          </cell>
        </row>
        <row r="50">
          <cell r="K50">
            <v>33000</v>
          </cell>
        </row>
        <row r="51">
          <cell r="K51">
            <v>318000</v>
          </cell>
        </row>
        <row r="52">
          <cell r="K52">
            <v>481000</v>
          </cell>
        </row>
        <row r="53">
          <cell r="K53">
            <v>2795000</v>
          </cell>
        </row>
        <row r="54">
          <cell r="K54">
            <v>266000</v>
          </cell>
        </row>
        <row r="55">
          <cell r="K55">
            <v>550000</v>
          </cell>
        </row>
        <row r="56">
          <cell r="K56">
            <v>295000</v>
          </cell>
        </row>
        <row r="57">
          <cell r="K57">
            <v>310000</v>
          </cell>
        </row>
        <row r="58">
          <cell r="K58">
            <v>416000</v>
          </cell>
        </row>
        <row r="59">
          <cell r="K59">
            <v>711000</v>
          </cell>
        </row>
        <row r="60">
          <cell r="K60">
            <v>123000</v>
          </cell>
        </row>
        <row r="61">
          <cell r="K61">
            <v>5000</v>
          </cell>
        </row>
        <row r="62">
          <cell r="K62">
            <v>1683000</v>
          </cell>
        </row>
        <row r="63">
          <cell r="K63">
            <v>759000</v>
          </cell>
        </row>
        <row r="64">
          <cell r="K64">
            <v>386000</v>
          </cell>
        </row>
        <row r="65">
          <cell r="K65">
            <v>226000</v>
          </cell>
        </row>
        <row r="66">
          <cell r="K66">
            <v>159000</v>
          </cell>
        </row>
        <row r="67">
          <cell r="K67">
            <v>187000</v>
          </cell>
        </row>
        <row r="68">
          <cell r="K68">
            <v>295000</v>
          </cell>
        </row>
        <row r="69">
          <cell r="K69">
            <v>418000</v>
          </cell>
        </row>
        <row r="70">
          <cell r="K70">
            <v>4444000</v>
          </cell>
        </row>
        <row r="71">
          <cell r="K71">
            <v>342000</v>
          </cell>
        </row>
        <row r="72">
          <cell r="K72">
            <v>347000</v>
          </cell>
        </row>
        <row r="73">
          <cell r="K73">
            <v>853000</v>
          </cell>
        </row>
        <row r="74">
          <cell r="K74">
            <v>458000</v>
          </cell>
        </row>
        <row r="75">
          <cell r="K75">
            <v>458000</v>
          </cell>
        </row>
        <row r="76">
          <cell r="K76">
            <v>741000</v>
          </cell>
        </row>
        <row r="77">
          <cell r="K77">
            <v>997000</v>
          </cell>
        </row>
        <row r="78">
          <cell r="K78">
            <v>238000</v>
          </cell>
        </row>
        <row r="79">
          <cell r="K79">
            <v>312000</v>
          </cell>
        </row>
        <row r="80">
          <cell r="K80">
            <v>162000</v>
          </cell>
        </row>
        <row r="81">
          <cell r="K81">
            <v>539000</v>
          </cell>
        </row>
        <row r="82">
          <cell r="K82">
            <v>685000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41C8-9810-441D-AC2E-085C0F02AEAF}">
  <dimension ref="A1:Z135"/>
  <sheetViews>
    <sheetView topLeftCell="H59" zoomScale="130" zoomScaleNormal="130" workbookViewId="0">
      <selection activeCell="A96" sqref="A96:G97"/>
    </sheetView>
  </sheetViews>
  <sheetFormatPr defaultRowHeight="14.5" x14ac:dyDescent="0.35"/>
  <cols>
    <col min="1" max="1" width="10.1796875" style="3" customWidth="1"/>
    <col min="2" max="2" width="18" style="3" customWidth="1"/>
    <col min="3" max="3" width="12.08984375" style="3" customWidth="1"/>
    <col min="4" max="4" width="13.1796875" style="3" customWidth="1"/>
    <col min="5" max="5" width="13.453125" style="3" customWidth="1"/>
    <col min="6" max="6" width="15.36328125" style="3" customWidth="1"/>
    <col min="7" max="7" width="11.1796875" style="4" customWidth="1"/>
    <col min="8" max="8" width="16.36328125" style="4" customWidth="1"/>
    <col min="9" max="9" width="12.36328125" style="4" customWidth="1"/>
    <col min="10" max="10" width="2.1796875" style="3" customWidth="1"/>
    <col min="11" max="11" width="10.6328125" style="3" customWidth="1"/>
    <col min="12" max="12" width="10.7265625" style="3" customWidth="1"/>
    <col min="13" max="13" width="2" style="3" customWidth="1"/>
    <col min="14" max="14" width="14.453125" style="3" customWidth="1"/>
    <col min="15" max="15" width="2.08984375" style="3" customWidth="1"/>
    <col min="16" max="16" width="9.90625" style="3" customWidth="1"/>
    <col min="17" max="17" width="13.1796875" style="3" customWidth="1"/>
    <col min="18" max="18" width="11.1796875" style="3" customWidth="1"/>
    <col min="19" max="19" width="1.90625" style="3" customWidth="1"/>
    <col min="20" max="20" width="10.453125" style="3" customWidth="1"/>
    <col min="21" max="21" width="18.36328125" style="3" customWidth="1"/>
    <col min="22" max="22" width="8.81640625" style="3" customWidth="1"/>
    <col min="23" max="26" width="8.7265625" style="3"/>
  </cols>
  <sheetData>
    <row r="1" spans="1:26" s="2" customFormat="1" ht="18.5" x14ac:dyDescent="0.45">
      <c r="A1" s="5"/>
      <c r="B1" s="6" t="s">
        <v>180</v>
      </c>
      <c r="C1" s="5"/>
      <c r="D1" s="5"/>
      <c r="E1" s="5"/>
      <c r="F1" s="5"/>
      <c r="G1" s="6"/>
      <c r="H1" s="6"/>
      <c r="I1" s="6"/>
      <c r="J1" s="5"/>
      <c r="K1" s="5"/>
      <c r="L1" s="2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ht="18.5" x14ac:dyDescent="0.45">
      <c r="A2" s="5"/>
      <c r="B2" s="6" t="s">
        <v>342</v>
      </c>
      <c r="C2" s="5"/>
      <c r="D2" s="5"/>
      <c r="E2" s="5"/>
      <c r="F2" s="5"/>
      <c r="G2" s="6"/>
      <c r="H2" s="6"/>
      <c r="I2" s="6"/>
      <c r="J2" s="5"/>
      <c r="K2" s="5"/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thickBot="1" x14ac:dyDescent="0.4">
      <c r="P3" s="4"/>
      <c r="Q3" s="4"/>
      <c r="R3" s="4"/>
    </row>
    <row r="4" spans="1:26" ht="14.5" customHeight="1" x14ac:dyDescent="0.35">
      <c r="A4" s="774" t="s">
        <v>0</v>
      </c>
      <c r="B4" s="777" t="s">
        <v>341</v>
      </c>
      <c r="C4" s="780" t="s">
        <v>101</v>
      </c>
      <c r="D4" s="781"/>
      <c r="E4" s="781"/>
      <c r="F4" s="781"/>
      <c r="G4" s="782"/>
      <c r="H4" s="24" t="s">
        <v>122</v>
      </c>
      <c r="I4" s="25" t="s">
        <v>120</v>
      </c>
      <c r="K4" s="46" t="s">
        <v>120</v>
      </c>
      <c r="L4" s="47" t="s">
        <v>120</v>
      </c>
      <c r="N4" s="48" t="s">
        <v>123</v>
      </c>
      <c r="P4" s="515" t="s">
        <v>315</v>
      </c>
      <c r="Q4" s="516"/>
      <c r="R4" s="517"/>
      <c r="S4" s="4"/>
      <c r="T4" s="774" t="s">
        <v>0</v>
      </c>
      <c r="U4" s="777" t="s">
        <v>1</v>
      </c>
    </row>
    <row r="5" spans="1:26" s="1" customFormat="1" ht="19" customHeight="1" x14ac:dyDescent="0.35">
      <c r="A5" s="775"/>
      <c r="B5" s="778"/>
      <c r="C5" s="783" t="s">
        <v>344</v>
      </c>
      <c r="D5" s="785" t="s">
        <v>2</v>
      </c>
      <c r="E5" s="785"/>
      <c r="F5" s="785"/>
      <c r="G5" s="786" t="s">
        <v>3</v>
      </c>
      <c r="H5" s="788" t="s">
        <v>343</v>
      </c>
      <c r="I5" s="790" t="s">
        <v>121</v>
      </c>
      <c r="J5" s="4"/>
      <c r="K5" s="792" t="s">
        <v>125</v>
      </c>
      <c r="L5" s="794" t="s">
        <v>127</v>
      </c>
      <c r="M5" s="4"/>
      <c r="N5" s="49" t="s">
        <v>109</v>
      </c>
      <c r="O5" s="4"/>
      <c r="P5" s="520" t="s">
        <v>325</v>
      </c>
      <c r="Q5" s="518"/>
      <c r="R5" s="519"/>
      <c r="S5" s="4"/>
      <c r="T5" s="775"/>
      <c r="U5" s="778"/>
      <c r="V5" s="4"/>
      <c r="W5" s="4"/>
      <c r="X5" s="4"/>
      <c r="Y5" s="4"/>
      <c r="Z5" s="4"/>
    </row>
    <row r="6" spans="1:26" ht="23" customHeight="1" thickBot="1" x14ac:dyDescent="0.4">
      <c r="A6" s="776"/>
      <c r="B6" s="779"/>
      <c r="C6" s="784"/>
      <c r="D6" s="17" t="s">
        <v>4</v>
      </c>
      <c r="E6" s="17" t="s">
        <v>5</v>
      </c>
      <c r="F6" s="17" t="s">
        <v>6</v>
      </c>
      <c r="G6" s="787"/>
      <c r="H6" s="789"/>
      <c r="I6" s="791"/>
      <c r="K6" s="793"/>
      <c r="L6" s="795"/>
      <c r="N6" s="50" t="s">
        <v>102</v>
      </c>
      <c r="P6" s="513" t="s">
        <v>326</v>
      </c>
      <c r="Q6" s="82" t="s">
        <v>324</v>
      </c>
      <c r="R6" s="514" t="s">
        <v>103</v>
      </c>
      <c r="S6" s="28"/>
      <c r="T6" s="776"/>
      <c r="U6" s="779"/>
    </row>
    <row r="7" spans="1:26" x14ac:dyDescent="0.35">
      <c r="A7" s="14" t="s">
        <v>7</v>
      </c>
      <c r="B7" s="35" t="s">
        <v>8</v>
      </c>
      <c r="C7" s="62">
        <f>ROUND('[1]Tulumaks 2021-2024'!K4/2.5*1.88,-3)</f>
        <v>254000</v>
      </c>
      <c r="D7" s="15">
        <f>[1]Tasandusfond!AY4/[1]Tasandusfond!AY$83*[1]Tasandusfond!AY$84</f>
        <v>22925.467142961992</v>
      </c>
      <c r="E7" s="15">
        <f>[1]Tasandusfond!AS4</f>
        <v>0</v>
      </c>
      <c r="F7" s="15">
        <f>[1]Tasandusfond!AX4</f>
        <v>0</v>
      </c>
      <c r="G7" s="16">
        <f t="shared" ref="G7:G70" si="0">SUM(C7:F7)</f>
        <v>276925.46714296198</v>
      </c>
      <c r="H7" s="18">
        <v>94913</v>
      </c>
      <c r="I7" s="13">
        <f t="shared" ref="I7:I70" si="1">G7+H7</f>
        <v>371838.46714296198</v>
      </c>
      <c r="K7" s="445">
        <f t="shared" ref="K7:K70" si="2">(H7/I7)</f>
        <v>0.25525331128128947</v>
      </c>
      <c r="L7" s="446">
        <f>K7-K86</f>
        <v>-0.12373441567037763</v>
      </c>
      <c r="N7" s="332">
        <f t="shared" ref="N7:N70" si="3">I7*0.2</f>
        <v>74367.693428592393</v>
      </c>
      <c r="P7" s="457">
        <f t="shared" ref="P7:P38" si="4">(R7/I7)</f>
        <v>5.5253311281289477E-2</v>
      </c>
      <c r="Q7" s="571" t="s">
        <v>364</v>
      </c>
      <c r="R7" s="219">
        <f t="shared" ref="R7:R38" si="5">H7-N7</f>
        <v>20545.306571407607</v>
      </c>
      <c r="S7" s="27"/>
      <c r="T7" s="14" t="s">
        <v>7</v>
      </c>
      <c r="U7" s="35" t="s">
        <v>8</v>
      </c>
    </row>
    <row r="8" spans="1:26" x14ac:dyDescent="0.35">
      <c r="A8" s="10" t="s">
        <v>7</v>
      </c>
      <c r="B8" s="36" t="s">
        <v>9</v>
      </c>
      <c r="C8" s="63">
        <f>ROUND('[1]Tulumaks 2021-2024'!K5/2.5*1.88,-3)</f>
        <v>427000</v>
      </c>
      <c r="D8" s="7">
        <f>[1]Tasandusfond!AY5/[1]Tasandusfond!AY$83*[1]Tasandusfond!AY$84</f>
        <v>38932.58445195642</v>
      </c>
      <c r="E8" s="7">
        <f>[1]Tasandusfond!AS5</f>
        <v>0</v>
      </c>
      <c r="F8" s="7">
        <f>[1]Tasandusfond!AX5</f>
        <v>0</v>
      </c>
      <c r="G8" s="11">
        <f t="shared" si="0"/>
        <v>465932.58445195644</v>
      </c>
      <c r="H8" s="19">
        <v>385000</v>
      </c>
      <c r="I8" s="13">
        <f t="shared" si="1"/>
        <v>850932.58445195644</v>
      </c>
      <c r="K8" s="445">
        <f t="shared" si="2"/>
        <v>0.45244477298746227</v>
      </c>
      <c r="L8" s="447">
        <f>K8-K86</f>
        <v>7.345704603579517E-2</v>
      </c>
      <c r="N8" s="333">
        <f t="shared" si="3"/>
        <v>170186.5168903913</v>
      </c>
      <c r="P8" s="458">
        <f t="shared" si="4"/>
        <v>0.25244477298746226</v>
      </c>
      <c r="Q8" s="572" t="s">
        <v>365</v>
      </c>
      <c r="R8" s="202">
        <f t="shared" si="5"/>
        <v>214813.4831096087</v>
      </c>
      <c r="S8" s="27"/>
      <c r="T8" s="10" t="s">
        <v>7</v>
      </c>
      <c r="U8" s="36" t="s">
        <v>9</v>
      </c>
    </row>
    <row r="9" spans="1:26" x14ac:dyDescent="0.35">
      <c r="A9" s="10" t="s">
        <v>7</v>
      </c>
      <c r="B9" s="36" t="s">
        <v>10</v>
      </c>
      <c r="C9" s="63">
        <f>ROUND('[1]Tulumaks 2021-2024'!K6/2.5*1.88,-3)</f>
        <v>228000</v>
      </c>
      <c r="D9" s="7">
        <f>[1]Tasandusfond!AY6/[1]Tasandusfond!AY$83*[1]Tasandusfond!AY$84</f>
        <v>20684.939450145273</v>
      </c>
      <c r="E9" s="7">
        <f>[1]Tasandusfond!AS6</f>
        <v>0</v>
      </c>
      <c r="F9" s="7">
        <f>[1]Tasandusfond!AX6</f>
        <v>0</v>
      </c>
      <c r="G9" s="11">
        <f t="shared" si="0"/>
        <v>248684.93945014526</v>
      </c>
      <c r="H9" s="19">
        <v>87373</v>
      </c>
      <c r="I9" s="13">
        <f t="shared" si="1"/>
        <v>336057.93945014523</v>
      </c>
      <c r="K9" s="445">
        <f t="shared" si="2"/>
        <v>0.25999385743708026</v>
      </c>
      <c r="L9" s="446">
        <f>K9-K86</f>
        <v>-0.11899386951458685</v>
      </c>
      <c r="N9" s="333">
        <f t="shared" si="3"/>
        <v>67211.587890029055</v>
      </c>
      <c r="P9" s="458">
        <f t="shared" si="4"/>
        <v>5.9993857437080203E-2</v>
      </c>
      <c r="Q9" s="571" t="s">
        <v>364</v>
      </c>
      <c r="R9" s="202">
        <f t="shared" si="5"/>
        <v>20161.412109970945</v>
      </c>
      <c r="S9" s="27"/>
      <c r="T9" s="10" t="s">
        <v>7</v>
      </c>
      <c r="U9" s="36" t="s">
        <v>10</v>
      </c>
    </row>
    <row r="10" spans="1:26" x14ac:dyDescent="0.35">
      <c r="A10" s="10" t="s">
        <v>7</v>
      </c>
      <c r="B10" s="36" t="s">
        <v>11</v>
      </c>
      <c r="C10" s="63">
        <f>ROUND('[1]Tulumaks 2021-2024'!K7/2.5*1.88,-3)</f>
        <v>333000</v>
      </c>
      <c r="D10" s="7">
        <f>[1]Tasandusfond!AY7/[1]Tasandusfond!AY$83*[1]Tasandusfond!AY$84</f>
        <v>30317.656659426942</v>
      </c>
      <c r="E10" s="7">
        <f>[1]Tasandusfond!AS7</f>
        <v>0</v>
      </c>
      <c r="F10" s="7">
        <f>[1]Tasandusfond!AX7</f>
        <v>0</v>
      </c>
      <c r="G10" s="11">
        <f t="shared" si="0"/>
        <v>363317.65665942692</v>
      </c>
      <c r="H10" s="19">
        <v>74182</v>
      </c>
      <c r="I10" s="13">
        <f t="shared" si="1"/>
        <v>437499.65665942692</v>
      </c>
      <c r="K10" s="445">
        <f t="shared" si="2"/>
        <v>0.16955899020909912</v>
      </c>
      <c r="L10" s="448">
        <f>K10-K86</f>
        <v>-0.20942873674256798</v>
      </c>
      <c r="N10" s="333">
        <f t="shared" si="3"/>
        <v>87499.931331885397</v>
      </c>
      <c r="P10" s="458">
        <f t="shared" si="4"/>
        <v>-3.0441009790900898E-2</v>
      </c>
      <c r="Q10" s="573" t="s">
        <v>320</v>
      </c>
      <c r="R10" s="202">
        <f t="shared" si="5"/>
        <v>-13317.931331885397</v>
      </c>
      <c r="S10" s="27"/>
      <c r="T10" s="10" t="s">
        <v>7</v>
      </c>
      <c r="U10" s="36" t="s">
        <v>11</v>
      </c>
    </row>
    <row r="11" spans="1:26" x14ac:dyDescent="0.35">
      <c r="A11" s="10" t="s">
        <v>7</v>
      </c>
      <c r="B11" s="36" t="s">
        <v>12</v>
      </c>
      <c r="C11" s="63">
        <f>ROUND('[1]Tulumaks 2021-2024'!K8/2.5*1.88,-3)</f>
        <v>135000</v>
      </c>
      <c r="D11" s="7">
        <f>[1]Tasandusfond!AY8/[1]Tasandusfond!AY$83*[1]Tasandusfond!AY$84</f>
        <v>12243.150117820533</v>
      </c>
      <c r="E11" s="7">
        <f>[1]Tasandusfond!AS8</f>
        <v>0</v>
      </c>
      <c r="F11" s="7">
        <f>[1]Tasandusfond!AX8</f>
        <v>0</v>
      </c>
      <c r="G11" s="11">
        <f t="shared" si="0"/>
        <v>147243.15011782054</v>
      </c>
      <c r="H11" s="19">
        <v>7757</v>
      </c>
      <c r="I11" s="13">
        <f t="shared" si="1"/>
        <v>155000.15011782054</v>
      </c>
      <c r="K11" s="445">
        <f t="shared" si="2"/>
        <v>5.0045112821527321E-2</v>
      </c>
      <c r="L11" s="449">
        <f>K11-K86</f>
        <v>-0.32894261413013981</v>
      </c>
      <c r="N11" s="333">
        <f t="shared" si="3"/>
        <v>31000.030023564108</v>
      </c>
      <c r="O11" s="26"/>
      <c r="P11" s="458">
        <f t="shared" si="4"/>
        <v>-0.14995488717847269</v>
      </c>
      <c r="Q11" s="574" t="s">
        <v>367</v>
      </c>
      <c r="R11" s="202">
        <f t="shared" si="5"/>
        <v>-23243.030023564108</v>
      </c>
      <c r="S11" s="27"/>
      <c r="T11" s="10" t="s">
        <v>7</v>
      </c>
      <c r="U11" s="36" t="s">
        <v>12</v>
      </c>
    </row>
    <row r="12" spans="1:26" x14ac:dyDescent="0.35">
      <c r="A12" s="10" t="s">
        <v>7</v>
      </c>
      <c r="B12" s="36" t="s">
        <v>13</v>
      </c>
      <c r="C12" s="63">
        <f>ROUND('[1]Tulumaks 2021-2024'!K9/2.5*1.88,-3)</f>
        <v>241000</v>
      </c>
      <c r="D12" s="7">
        <f>[1]Tasandusfond!AY9/[1]Tasandusfond!AY$83*[1]Tasandusfond!AY$84</f>
        <v>21773.736786273574</v>
      </c>
      <c r="E12" s="7">
        <f>[1]Tasandusfond!AS9</f>
        <v>27840</v>
      </c>
      <c r="F12" s="7">
        <f>[1]Tasandusfond!AX9</f>
        <v>0</v>
      </c>
      <c r="G12" s="11">
        <f t="shared" si="0"/>
        <v>290613.7367862736</v>
      </c>
      <c r="H12" s="19">
        <v>184960</v>
      </c>
      <c r="I12" s="13">
        <f t="shared" si="1"/>
        <v>475573.7367862736</v>
      </c>
      <c r="K12" s="445">
        <f t="shared" si="2"/>
        <v>0.38891971043203843</v>
      </c>
      <c r="L12" s="447">
        <f>K12-K86</f>
        <v>9.9319834803713314E-3</v>
      </c>
      <c r="N12" s="333">
        <f t="shared" si="3"/>
        <v>95114.747357254731</v>
      </c>
      <c r="P12" s="458">
        <f t="shared" si="4"/>
        <v>0.18891971043203842</v>
      </c>
      <c r="Q12" s="575" t="s">
        <v>366</v>
      </c>
      <c r="R12" s="202">
        <f t="shared" si="5"/>
        <v>89845.252642745269</v>
      </c>
      <c r="S12" s="27"/>
      <c r="T12" s="10" t="s">
        <v>7</v>
      </c>
      <c r="U12" s="36" t="s">
        <v>13</v>
      </c>
    </row>
    <row r="13" spans="1:26" x14ac:dyDescent="0.35">
      <c r="A13" s="10" t="s">
        <v>7</v>
      </c>
      <c r="B13" s="36" t="s">
        <v>14</v>
      </c>
      <c r="C13" s="63">
        <f>ROUND('[1]Tulumaks 2021-2024'!K10/2.5*1.88,-3)</f>
        <v>264000</v>
      </c>
      <c r="D13" s="7">
        <f>[1]Tasandusfond!AY10/[1]Tasandusfond!AY$83*[1]Tasandusfond!AY$84</f>
        <v>23888.120575935634</v>
      </c>
      <c r="E13" s="7">
        <f>[1]Tasandusfond!AS10</f>
        <v>41760</v>
      </c>
      <c r="F13" s="7">
        <f>[1]Tasandusfond!AX10</f>
        <v>0</v>
      </c>
      <c r="G13" s="11">
        <f t="shared" si="0"/>
        <v>329648.12057593564</v>
      </c>
      <c r="H13" s="19">
        <v>170352</v>
      </c>
      <c r="I13" s="13">
        <f t="shared" si="1"/>
        <v>500000.12057593564</v>
      </c>
      <c r="K13" s="445">
        <f t="shared" si="2"/>
        <v>0.34070391783861265</v>
      </c>
      <c r="L13" s="450">
        <f>K13-K86</f>
        <v>-3.8283809113054457E-2</v>
      </c>
      <c r="N13" s="333">
        <f t="shared" si="3"/>
        <v>100000.02411518713</v>
      </c>
      <c r="P13" s="458">
        <f t="shared" si="4"/>
        <v>0.14070391783861266</v>
      </c>
      <c r="Q13" s="575" t="s">
        <v>366</v>
      </c>
      <c r="R13" s="202">
        <f t="shared" si="5"/>
        <v>70351.975884812869</v>
      </c>
      <c r="S13" s="27"/>
      <c r="T13" s="10" t="s">
        <v>7</v>
      </c>
      <c r="U13" s="36" t="s">
        <v>14</v>
      </c>
    </row>
    <row r="14" spans="1:26" x14ac:dyDescent="0.35">
      <c r="A14" s="10" t="s">
        <v>7</v>
      </c>
      <c r="B14" s="36" t="s">
        <v>15</v>
      </c>
      <c r="C14" s="63">
        <f>ROUND('[1]Tulumaks 2021-2024'!K11/2.5*1.88,-3)</f>
        <v>135000</v>
      </c>
      <c r="D14" s="7">
        <f>[1]Tasandusfond!AY11/[1]Tasandusfond!AY$83*[1]Tasandusfond!AY$84</f>
        <v>12170.449175391897</v>
      </c>
      <c r="E14" s="7">
        <f>[1]Tasandusfond!AS11</f>
        <v>0</v>
      </c>
      <c r="F14" s="7">
        <f>[1]Tasandusfond!AX11</f>
        <v>0</v>
      </c>
      <c r="G14" s="11">
        <f t="shared" si="0"/>
        <v>147170.4491753919</v>
      </c>
      <c r="H14" s="19">
        <v>32829</v>
      </c>
      <c r="I14" s="13">
        <f t="shared" si="1"/>
        <v>179999.4491753919</v>
      </c>
      <c r="K14" s="445">
        <f t="shared" si="2"/>
        <v>0.18238389145297518</v>
      </c>
      <c r="L14" s="446">
        <f>K14-K86</f>
        <v>-0.19660383549869193</v>
      </c>
      <c r="N14" s="333">
        <f t="shared" si="3"/>
        <v>35999.889835078378</v>
      </c>
      <c r="P14" s="458">
        <f t="shared" si="4"/>
        <v>-1.7616108547024806E-2</v>
      </c>
      <c r="Q14" s="573" t="s">
        <v>321</v>
      </c>
      <c r="R14" s="202">
        <f t="shared" si="5"/>
        <v>-3170.8898350783784</v>
      </c>
      <c r="S14" s="27"/>
      <c r="T14" s="10" t="s">
        <v>7</v>
      </c>
      <c r="U14" s="36" t="s">
        <v>15</v>
      </c>
    </row>
    <row r="15" spans="1:26" ht="14.5" customHeight="1" x14ac:dyDescent="0.35">
      <c r="A15" s="10" t="s">
        <v>7</v>
      </c>
      <c r="B15" s="36" t="s">
        <v>16</v>
      </c>
      <c r="C15" s="63">
        <f>ROUND('[1]Tulumaks 2021-2024'!K12/2.5*1.88,-3)</f>
        <v>501000</v>
      </c>
      <c r="D15" s="7">
        <f>[1]Tasandusfond!AY12/[1]Tasandusfond!AY$83*[1]Tasandusfond!AY$84</f>
        <v>45299.061163693848</v>
      </c>
      <c r="E15" s="7">
        <f>[1]Tasandusfond!AS12</f>
        <v>0</v>
      </c>
      <c r="F15" s="7">
        <f>[1]Tasandusfond!AX12</f>
        <v>0</v>
      </c>
      <c r="G15" s="11">
        <f t="shared" si="0"/>
        <v>546299.0611636939</v>
      </c>
      <c r="H15" s="19">
        <v>772000</v>
      </c>
      <c r="I15" s="13">
        <f t="shared" si="1"/>
        <v>1318299.0611636939</v>
      </c>
      <c r="K15" s="445">
        <f t="shared" si="2"/>
        <v>0.58560308714665799</v>
      </c>
      <c r="L15" s="451">
        <f>K15-K86</f>
        <v>0.20661536019499088</v>
      </c>
      <c r="N15" s="333">
        <f t="shared" si="3"/>
        <v>263659.81223273877</v>
      </c>
      <c r="P15" s="458">
        <f t="shared" si="4"/>
        <v>0.38560308714665797</v>
      </c>
      <c r="Q15" s="576" t="s">
        <v>363</v>
      </c>
      <c r="R15" s="202">
        <f t="shared" si="5"/>
        <v>508340.18776726123</v>
      </c>
      <c r="S15" s="27"/>
      <c r="T15" s="10" t="s">
        <v>7</v>
      </c>
      <c r="U15" s="36" t="s">
        <v>16</v>
      </c>
    </row>
    <row r="16" spans="1:26" x14ac:dyDescent="0.35">
      <c r="A16" s="10" t="s">
        <v>7</v>
      </c>
      <c r="B16" s="36" t="s">
        <v>17</v>
      </c>
      <c r="C16" s="63">
        <f>ROUND('[1]Tulumaks 2021-2024'!K13/2.5*1.88,-3)</f>
        <v>633000</v>
      </c>
      <c r="D16" s="7">
        <f>[1]Tasandusfond!AY13/[1]Tasandusfond!AY$83*[1]Tasandusfond!AY$84</f>
        <v>57458.137694848527</v>
      </c>
      <c r="E16" s="7">
        <f>[1]Tasandusfond!AS13</f>
        <v>0</v>
      </c>
      <c r="F16" s="7">
        <f>[1]Tasandusfond!AX13</f>
        <v>0</v>
      </c>
      <c r="G16" s="11">
        <f t="shared" si="0"/>
        <v>690458.13769484847</v>
      </c>
      <c r="H16" s="19">
        <v>112000</v>
      </c>
      <c r="I16" s="13">
        <f t="shared" si="1"/>
        <v>802458.13769484847</v>
      </c>
      <c r="K16" s="445">
        <f t="shared" si="2"/>
        <v>0.13957114363838671</v>
      </c>
      <c r="L16" s="448">
        <f>K16-K86</f>
        <v>-0.23941658331328039</v>
      </c>
      <c r="N16" s="333">
        <f t="shared" si="3"/>
        <v>160491.62753896971</v>
      </c>
      <c r="P16" s="458">
        <f t="shared" si="4"/>
        <v>-6.0428856361613305E-2</v>
      </c>
      <c r="Q16" s="573" t="s">
        <v>322</v>
      </c>
      <c r="R16" s="202">
        <f t="shared" si="5"/>
        <v>-48491.627538969711</v>
      </c>
      <c r="S16" s="27"/>
      <c r="T16" s="10" t="s">
        <v>7</v>
      </c>
      <c r="U16" s="36" t="s">
        <v>17</v>
      </c>
    </row>
    <row r="17" spans="1:21" x14ac:dyDescent="0.35">
      <c r="A17" s="10" t="s">
        <v>7</v>
      </c>
      <c r="B17" s="36" t="s">
        <v>18</v>
      </c>
      <c r="C17" s="63">
        <f>ROUND('[1]Tulumaks 2021-2024'!K14/2.5*1.88,-3)</f>
        <v>162000</v>
      </c>
      <c r="D17" s="7">
        <f>[1]Tasandusfond!AY14/[1]Tasandusfond!AY$83*[1]Tasandusfond!AY$84</f>
        <v>14607.326139475299</v>
      </c>
      <c r="E17" s="7">
        <f>[1]Tasandusfond!AS14</f>
        <v>0</v>
      </c>
      <c r="F17" s="7">
        <f>[1]Tasandusfond!AX14</f>
        <v>0</v>
      </c>
      <c r="G17" s="11">
        <f t="shared" si="0"/>
        <v>176607.32613947531</v>
      </c>
      <c r="H17" s="19">
        <v>76056</v>
      </c>
      <c r="I17" s="13">
        <f t="shared" si="1"/>
        <v>252663.32613947531</v>
      </c>
      <c r="K17" s="445">
        <f t="shared" si="2"/>
        <v>0.30101717238541986</v>
      </c>
      <c r="L17" s="450">
        <f>K17-K86</f>
        <v>-7.7970554566247241E-2</v>
      </c>
      <c r="N17" s="333">
        <f t="shared" si="3"/>
        <v>50532.665227895064</v>
      </c>
      <c r="P17" s="458">
        <f t="shared" si="4"/>
        <v>0.10101717238541985</v>
      </c>
      <c r="Q17" s="575" t="s">
        <v>366</v>
      </c>
      <c r="R17" s="202">
        <f t="shared" si="5"/>
        <v>25523.334772104936</v>
      </c>
      <c r="S17" s="27"/>
      <c r="T17" s="10" t="s">
        <v>7</v>
      </c>
      <c r="U17" s="36" t="s">
        <v>18</v>
      </c>
    </row>
    <row r="18" spans="1:21" x14ac:dyDescent="0.35">
      <c r="A18" s="10" t="s">
        <v>7</v>
      </c>
      <c r="B18" s="36" t="s">
        <v>19</v>
      </c>
      <c r="C18" s="63">
        <f>ROUND('[1]Tulumaks 2021-2024'!K15/2.5*1.88,-3)</f>
        <v>371000</v>
      </c>
      <c r="D18" s="7">
        <f>[1]Tasandusfond!AY15/[1]Tasandusfond!AY$83*[1]Tasandusfond!AY$84</f>
        <v>33752.990132578489</v>
      </c>
      <c r="E18" s="7">
        <f>[1]Tasandusfond!AS15</f>
        <v>0</v>
      </c>
      <c r="F18" s="7">
        <f>[1]Tasandusfond!AX15</f>
        <v>0</v>
      </c>
      <c r="G18" s="11">
        <f t="shared" si="0"/>
        <v>404752.99013257847</v>
      </c>
      <c r="H18" s="19">
        <v>75247</v>
      </c>
      <c r="I18" s="13">
        <f t="shared" si="1"/>
        <v>479999.99013257847</v>
      </c>
      <c r="K18" s="445">
        <f t="shared" si="2"/>
        <v>0.15676458655596304</v>
      </c>
      <c r="L18" s="448">
        <f>K18-K86</f>
        <v>-0.22222314039570407</v>
      </c>
      <c r="N18" s="333">
        <f t="shared" si="3"/>
        <v>95999.998026515706</v>
      </c>
      <c r="P18" s="458">
        <f t="shared" si="4"/>
        <v>-4.3235413444036988E-2</v>
      </c>
      <c r="Q18" s="573" t="s">
        <v>322</v>
      </c>
      <c r="R18" s="202">
        <f t="shared" si="5"/>
        <v>-20752.998026515706</v>
      </c>
      <c r="S18" s="27"/>
      <c r="T18" s="10" t="s">
        <v>7</v>
      </c>
      <c r="U18" s="36" t="s">
        <v>19</v>
      </c>
    </row>
    <row r="19" spans="1:21" x14ac:dyDescent="0.35">
      <c r="A19" s="10" t="s">
        <v>7</v>
      </c>
      <c r="B19" s="36" t="s">
        <v>20</v>
      </c>
      <c r="C19" s="63">
        <f>ROUND('[1]Tulumaks 2021-2024'!K16/2.5*1.88,-3)</f>
        <v>311000</v>
      </c>
      <c r="D19" s="7">
        <f>[1]Tasandusfond!AY16/[1]Tasandusfond!AY$83*[1]Tasandusfond!AY$84</f>
        <v>28158.825035764123</v>
      </c>
      <c r="E19" s="7">
        <f>[1]Tasandusfond!AS16</f>
        <v>0</v>
      </c>
      <c r="F19" s="7">
        <f>[1]Tasandusfond!AX16</f>
        <v>0</v>
      </c>
      <c r="G19" s="11">
        <f t="shared" si="0"/>
        <v>339158.82503576414</v>
      </c>
      <c r="H19" s="19">
        <v>119740</v>
      </c>
      <c r="I19" s="13">
        <f t="shared" si="1"/>
        <v>458898.82503576414</v>
      </c>
      <c r="K19" s="445">
        <f t="shared" si="2"/>
        <v>0.26092897490131534</v>
      </c>
      <c r="L19" s="446">
        <f>K19-K86</f>
        <v>-0.11805875205035177</v>
      </c>
      <c r="N19" s="333">
        <f t="shared" si="3"/>
        <v>91779.765007152833</v>
      </c>
      <c r="P19" s="458">
        <f t="shared" si="4"/>
        <v>6.0928974901315325E-2</v>
      </c>
      <c r="Q19" s="571" t="s">
        <v>364</v>
      </c>
      <c r="R19" s="202">
        <f t="shared" si="5"/>
        <v>27960.234992847167</v>
      </c>
      <c r="S19" s="27"/>
      <c r="T19" s="10" t="s">
        <v>7</v>
      </c>
      <c r="U19" s="36" t="s">
        <v>20</v>
      </c>
    </row>
    <row r="20" spans="1:21" x14ac:dyDescent="0.35">
      <c r="A20" s="10" t="s">
        <v>7</v>
      </c>
      <c r="B20" s="36" t="s">
        <v>21</v>
      </c>
      <c r="C20" s="63">
        <f>ROUND('[1]Tulumaks 2021-2024'!K17/2.5*1.88,-3)</f>
        <v>704000</v>
      </c>
      <c r="D20" s="7">
        <f>[1]Tasandusfond!AY17/[1]Tasandusfond!AY$83*[1]Tasandusfond!AY$84</f>
        <v>63756.245381657885</v>
      </c>
      <c r="E20" s="7">
        <f>[1]Tasandusfond!AS17</f>
        <v>0</v>
      </c>
      <c r="F20" s="7">
        <f>[1]Tasandusfond!AX17</f>
        <v>0</v>
      </c>
      <c r="G20" s="11">
        <f t="shared" si="0"/>
        <v>767756.24538165785</v>
      </c>
      <c r="H20" s="19">
        <v>202341</v>
      </c>
      <c r="I20" s="13">
        <f t="shared" si="1"/>
        <v>970097.24538165785</v>
      </c>
      <c r="K20" s="445">
        <f t="shared" si="2"/>
        <v>0.20857805850216032</v>
      </c>
      <c r="L20" s="446">
        <f>K20-K86</f>
        <v>-0.17040966844950678</v>
      </c>
      <c r="N20" s="333">
        <f t="shared" si="3"/>
        <v>194019.44907633157</v>
      </c>
      <c r="P20" s="458">
        <f t="shared" si="4"/>
        <v>8.5780585021603128E-3</v>
      </c>
      <c r="Q20" s="571" t="s">
        <v>364</v>
      </c>
      <c r="R20" s="202">
        <f t="shared" si="5"/>
        <v>8321.5509236684302</v>
      </c>
      <c r="S20" s="27"/>
      <c r="T20" s="10" t="s">
        <v>7</v>
      </c>
      <c r="U20" s="36" t="s">
        <v>21</v>
      </c>
    </row>
    <row r="21" spans="1:21" x14ac:dyDescent="0.35">
      <c r="A21" s="10" t="s">
        <v>7</v>
      </c>
      <c r="B21" s="36" t="s">
        <v>22</v>
      </c>
      <c r="C21" s="63">
        <f>ROUND('[1]Tulumaks 2021-2024'!K18/2.5*1.88,-3)</f>
        <v>15451000</v>
      </c>
      <c r="D21" s="7">
        <f>[1]Tasandusfond!AY18/[1]Tasandusfond!AY$83*[1]Tasandusfond!AY$84</f>
        <v>1395640.5490472268</v>
      </c>
      <c r="E21" s="7">
        <f>[1]Tasandusfond!AS18</f>
        <v>0</v>
      </c>
      <c r="F21" s="7">
        <f>[1]Tasandusfond!AX18</f>
        <v>0</v>
      </c>
      <c r="G21" s="11">
        <f t="shared" si="0"/>
        <v>16846640.549047228</v>
      </c>
      <c r="H21" s="19">
        <v>6950188</v>
      </c>
      <c r="I21" s="13">
        <f t="shared" si="1"/>
        <v>23796828.549047228</v>
      </c>
      <c r="K21" s="445">
        <f t="shared" si="2"/>
        <v>0.29206362459918089</v>
      </c>
      <c r="L21" s="450">
        <f>K21-K86</f>
        <v>-8.692410235248621E-2</v>
      </c>
      <c r="N21" s="333">
        <f t="shared" si="3"/>
        <v>4759365.7098094458</v>
      </c>
      <c r="P21" s="458">
        <f t="shared" si="4"/>
        <v>9.2063624599180882E-2</v>
      </c>
      <c r="Q21" s="571" t="s">
        <v>364</v>
      </c>
      <c r="R21" s="202">
        <f t="shared" si="5"/>
        <v>2190822.2901905542</v>
      </c>
      <c r="S21" s="27"/>
      <c r="T21" s="10" t="s">
        <v>7</v>
      </c>
      <c r="U21" s="36" t="s">
        <v>22</v>
      </c>
    </row>
    <row r="22" spans="1:21" x14ac:dyDescent="0.35">
      <c r="A22" s="10" t="s">
        <v>7</v>
      </c>
      <c r="B22" s="36" t="s">
        <v>23</v>
      </c>
      <c r="C22" s="63">
        <f>ROUND('[1]Tulumaks 2021-2024'!K19/2.5*1.88,-3)</f>
        <v>632000</v>
      </c>
      <c r="D22" s="7">
        <f>[1]Tasandusfond!AY19/[1]Tasandusfond!AY$83*[1]Tasandusfond!AY$84</f>
        <v>57404.26525756756</v>
      </c>
      <c r="E22" s="7">
        <f>[1]Tasandusfond!AS19</f>
        <v>0</v>
      </c>
      <c r="F22" s="7">
        <f>[1]Tasandusfond!AX19</f>
        <v>0</v>
      </c>
      <c r="G22" s="11">
        <f t="shared" si="0"/>
        <v>689404.26525756752</v>
      </c>
      <c r="H22" s="19">
        <v>35000</v>
      </c>
      <c r="I22" s="13">
        <f t="shared" si="1"/>
        <v>724404.26525756752</v>
      </c>
      <c r="J22" s="33"/>
      <c r="K22" s="445">
        <f t="shared" si="2"/>
        <v>4.8315563116618977E-2</v>
      </c>
      <c r="L22" s="449">
        <f>K22-K86</f>
        <v>-0.33067216383504811</v>
      </c>
      <c r="N22" s="333">
        <f t="shared" si="3"/>
        <v>144880.85305151352</v>
      </c>
      <c r="P22" s="458">
        <f t="shared" si="4"/>
        <v>-0.15168443688338104</v>
      </c>
      <c r="Q22" s="574" t="s">
        <v>323</v>
      </c>
      <c r="R22" s="202">
        <f t="shared" si="5"/>
        <v>-109880.85305151352</v>
      </c>
      <c r="S22" s="27"/>
      <c r="T22" s="10" t="s">
        <v>7</v>
      </c>
      <c r="U22" s="36" t="s">
        <v>23</v>
      </c>
    </row>
    <row r="23" spans="1:21" x14ac:dyDescent="0.35">
      <c r="A23" s="10" t="s">
        <v>24</v>
      </c>
      <c r="B23" s="36" t="s">
        <v>25</v>
      </c>
      <c r="C23" s="63">
        <f>ROUND('[1]Tulumaks 2021-2024'!K20/2.5*1.88,-3)</f>
        <v>441000</v>
      </c>
      <c r="D23" s="7">
        <f>[1]Tasandusfond!AY20/[1]Tasandusfond!AY$83*[1]Tasandusfond!AY$84</f>
        <v>39916.069174002696</v>
      </c>
      <c r="E23" s="7">
        <f>[1]Tasandusfond!AS20</f>
        <v>0</v>
      </c>
      <c r="F23" s="7">
        <f>[1]Tasandusfond!AX20</f>
        <v>0</v>
      </c>
      <c r="G23" s="11">
        <f t="shared" si="0"/>
        <v>480916.06917400268</v>
      </c>
      <c r="H23" s="19">
        <v>156000</v>
      </c>
      <c r="I23" s="13">
        <f t="shared" si="1"/>
        <v>636916.06917400262</v>
      </c>
      <c r="K23" s="445">
        <f t="shared" si="2"/>
        <v>0.24493023107787457</v>
      </c>
      <c r="L23" s="446">
        <f>K23-K86</f>
        <v>-0.13405749587379254</v>
      </c>
      <c r="N23" s="333">
        <f t="shared" si="3"/>
        <v>127383.21383480052</v>
      </c>
      <c r="P23" s="458">
        <f t="shared" si="4"/>
        <v>4.4930231077874562E-2</v>
      </c>
      <c r="Q23" s="571" t="s">
        <v>364</v>
      </c>
      <c r="R23" s="202">
        <f t="shared" si="5"/>
        <v>28616.786165199475</v>
      </c>
      <c r="S23" s="27"/>
      <c r="T23" s="10" t="s">
        <v>24</v>
      </c>
      <c r="U23" s="36" t="s">
        <v>25</v>
      </c>
    </row>
    <row r="24" spans="1:21" x14ac:dyDescent="0.35">
      <c r="A24" s="10" t="s">
        <v>26</v>
      </c>
      <c r="B24" s="36" t="s">
        <v>27</v>
      </c>
      <c r="C24" s="63">
        <f>ROUND('[1]Tulumaks 2021-2024'!K21/2.5*1.88,-3)</f>
        <v>213000</v>
      </c>
      <c r="D24" s="7">
        <f>[1]Tasandusfond!AY21/[1]Tasandusfond!AY$83*[1]Tasandusfond!AY$84</f>
        <v>19310.397403246316</v>
      </c>
      <c r="E24" s="7">
        <f>[1]Tasandusfond!AS21</f>
        <v>0</v>
      </c>
      <c r="F24" s="7">
        <f>[1]Tasandusfond!AX21</f>
        <v>15397.491817381349</v>
      </c>
      <c r="G24" s="11">
        <f t="shared" si="0"/>
        <v>247707.88922062767</v>
      </c>
      <c r="H24" s="19">
        <v>147599</v>
      </c>
      <c r="I24" s="13">
        <f t="shared" si="1"/>
        <v>395306.88922062767</v>
      </c>
      <c r="K24" s="445">
        <f t="shared" si="2"/>
        <v>0.37337826388758538</v>
      </c>
      <c r="L24" s="450">
        <f>K24-K86</f>
        <v>-5.6094630640817211E-3</v>
      </c>
      <c r="N24" s="333">
        <f t="shared" si="3"/>
        <v>79061.377844125542</v>
      </c>
      <c r="P24" s="458">
        <f t="shared" si="4"/>
        <v>0.17337826388758537</v>
      </c>
      <c r="Q24" s="575" t="s">
        <v>366</v>
      </c>
      <c r="R24" s="202">
        <f t="shared" si="5"/>
        <v>68537.622155874458</v>
      </c>
      <c r="S24" s="27"/>
      <c r="T24" s="10" t="s">
        <v>26</v>
      </c>
      <c r="U24" s="36" t="s">
        <v>27</v>
      </c>
    </row>
    <row r="25" spans="1:21" x14ac:dyDescent="0.35">
      <c r="A25" s="10" t="s">
        <v>26</v>
      </c>
      <c r="B25" s="36" t="s">
        <v>28</v>
      </c>
      <c r="C25" s="63">
        <f>ROUND('[1]Tulumaks 2021-2024'!K22/2.5*1.88,-3)</f>
        <v>573000</v>
      </c>
      <c r="D25" s="7">
        <f>[1]Tasandusfond!AY22/[1]Tasandusfond!AY$83*[1]Tasandusfond!AY$84</f>
        <v>51761.605563436693</v>
      </c>
      <c r="E25" s="7">
        <f>[1]Tasandusfond!AS22</f>
        <v>0</v>
      </c>
      <c r="F25" s="7">
        <f>[1]Tasandusfond!AX22</f>
        <v>0</v>
      </c>
      <c r="G25" s="11">
        <f t="shared" si="0"/>
        <v>624761.60556343663</v>
      </c>
      <c r="H25" s="19">
        <v>251427</v>
      </c>
      <c r="I25" s="13">
        <f t="shared" si="1"/>
        <v>876188.60556343663</v>
      </c>
      <c r="K25" s="445">
        <f t="shared" si="2"/>
        <v>0.28695534089754438</v>
      </c>
      <c r="L25" s="450">
        <f>K25-K86</f>
        <v>-9.2032386054122728E-2</v>
      </c>
      <c r="N25" s="333">
        <f t="shared" si="3"/>
        <v>175237.72111268734</v>
      </c>
      <c r="P25" s="458">
        <f t="shared" si="4"/>
        <v>8.695534089754435E-2</v>
      </c>
      <c r="Q25" s="571" t="s">
        <v>364</v>
      </c>
      <c r="R25" s="202">
        <f t="shared" si="5"/>
        <v>76189.278887312656</v>
      </c>
      <c r="S25" s="27"/>
      <c r="T25" s="10" t="s">
        <v>26</v>
      </c>
      <c r="U25" s="36" t="s">
        <v>28</v>
      </c>
    </row>
    <row r="26" spans="1:21" ht="15" customHeight="1" x14ac:dyDescent="0.35">
      <c r="A26" s="10" t="s">
        <v>26</v>
      </c>
      <c r="B26" s="36" t="s">
        <v>29</v>
      </c>
      <c r="C26" s="63">
        <f>ROUND('[1]Tulumaks 2021-2024'!K23/2.5*1.88,-3)</f>
        <v>1627000</v>
      </c>
      <c r="D26" s="7">
        <f>[1]Tasandusfond!AY23/[1]Tasandusfond!AY$83*[1]Tasandusfond!AY$84</f>
        <v>146959.22300542874</v>
      </c>
      <c r="E26" s="7">
        <f>[1]Tasandusfond!AS23</f>
        <v>0</v>
      </c>
      <c r="F26" s="7">
        <f>[1]Tasandusfond!AX23</f>
        <v>0</v>
      </c>
      <c r="G26" s="11">
        <f t="shared" si="0"/>
        <v>1773959.2230054287</v>
      </c>
      <c r="H26" s="19">
        <v>1047907</v>
      </c>
      <c r="I26" s="13">
        <f t="shared" si="1"/>
        <v>2821866.2230054289</v>
      </c>
      <c r="K26" s="445">
        <f t="shared" si="2"/>
        <v>0.3713524728624189</v>
      </c>
      <c r="L26" s="450">
        <f>K26-K86</f>
        <v>-7.6352540892482001E-3</v>
      </c>
      <c r="N26" s="333">
        <f t="shared" si="3"/>
        <v>564373.24460108578</v>
      </c>
      <c r="P26" s="458">
        <f t="shared" si="4"/>
        <v>0.17135247286241889</v>
      </c>
      <c r="Q26" s="575" t="s">
        <v>366</v>
      </c>
      <c r="R26" s="202">
        <f t="shared" si="5"/>
        <v>483533.75539891422</v>
      </c>
      <c r="S26" s="27"/>
      <c r="T26" s="10" t="s">
        <v>26</v>
      </c>
      <c r="U26" s="36" t="s">
        <v>29</v>
      </c>
    </row>
    <row r="27" spans="1:21" x14ac:dyDescent="0.35">
      <c r="A27" s="10" t="s">
        <v>26</v>
      </c>
      <c r="B27" s="36" t="s">
        <v>30</v>
      </c>
      <c r="C27" s="63">
        <f>ROUND('[1]Tulumaks 2021-2024'!K24/2.5*1.88,-3)</f>
        <v>444000</v>
      </c>
      <c r="D27" s="7">
        <f>[1]Tasandusfond!AY24/[1]Tasandusfond!AY$83*[1]Tasandusfond!AY$84</f>
        <v>40059.29951867702</v>
      </c>
      <c r="E27" s="7">
        <f>[1]Tasandusfond!AS24</f>
        <v>0</v>
      </c>
      <c r="F27" s="7">
        <f>[1]Tasandusfond!AX24</f>
        <v>33133.860639717313</v>
      </c>
      <c r="G27" s="11">
        <f t="shared" si="0"/>
        <v>517193.16015839431</v>
      </c>
      <c r="H27" s="19">
        <v>322807</v>
      </c>
      <c r="I27" s="13">
        <f t="shared" si="1"/>
        <v>840000.16015839437</v>
      </c>
      <c r="K27" s="445">
        <f t="shared" si="2"/>
        <v>0.38429397434773105</v>
      </c>
      <c r="L27" s="447">
        <f>K27-K86</f>
        <v>5.3062473960639456E-3</v>
      </c>
      <c r="N27" s="333">
        <f t="shared" si="3"/>
        <v>168000.03203167889</v>
      </c>
      <c r="P27" s="458">
        <f t="shared" si="4"/>
        <v>0.18429397434773107</v>
      </c>
      <c r="Q27" s="575" t="s">
        <v>366</v>
      </c>
      <c r="R27" s="202">
        <f t="shared" si="5"/>
        <v>154806.96796832111</v>
      </c>
      <c r="S27" s="27"/>
      <c r="T27" s="10" t="s">
        <v>26</v>
      </c>
      <c r="U27" s="36" t="s">
        <v>30</v>
      </c>
    </row>
    <row r="28" spans="1:21" x14ac:dyDescent="0.35">
      <c r="A28" s="10" t="s">
        <v>26</v>
      </c>
      <c r="B28" s="36" t="s">
        <v>31</v>
      </c>
      <c r="C28" s="63">
        <f>ROUND('[1]Tulumaks 2021-2024'!K25/2.5*1.88,-3)</f>
        <v>2461000</v>
      </c>
      <c r="D28" s="7">
        <f>[1]Tasandusfond!AY25/[1]Tasandusfond!AY$83*[1]Tasandusfond!AY$84</f>
        <v>222331.7056990054</v>
      </c>
      <c r="E28" s="7">
        <f>[1]Tasandusfond!AS25</f>
        <v>0</v>
      </c>
      <c r="F28" s="7">
        <f>[1]Tasandusfond!AX25</f>
        <v>0</v>
      </c>
      <c r="G28" s="11">
        <f t="shared" si="0"/>
        <v>2683331.7056990052</v>
      </c>
      <c r="H28" s="19">
        <v>1500000</v>
      </c>
      <c r="I28" s="13">
        <f t="shared" si="1"/>
        <v>4183331.7056990052</v>
      </c>
      <c r="K28" s="445">
        <f t="shared" si="2"/>
        <v>0.35856587656114652</v>
      </c>
      <c r="L28" s="450">
        <f>K28-K86</f>
        <v>-2.0421850390520579E-2</v>
      </c>
      <c r="N28" s="333">
        <f t="shared" si="3"/>
        <v>836666.34113980108</v>
      </c>
      <c r="P28" s="458">
        <f t="shared" si="4"/>
        <v>0.15856587656114651</v>
      </c>
      <c r="Q28" s="575" t="s">
        <v>366</v>
      </c>
      <c r="R28" s="202">
        <f t="shared" si="5"/>
        <v>663333.65886019892</v>
      </c>
      <c r="S28" s="27"/>
      <c r="T28" s="10" t="s">
        <v>26</v>
      </c>
      <c r="U28" s="36" t="s">
        <v>31</v>
      </c>
    </row>
    <row r="29" spans="1:21" ht="14.5" customHeight="1" x14ac:dyDescent="0.35">
      <c r="A29" s="10" t="s">
        <v>26</v>
      </c>
      <c r="B29" s="36" t="s">
        <v>32</v>
      </c>
      <c r="C29" s="63">
        <f>ROUND('[1]Tulumaks 2021-2024'!K26/2.5*1.88,-3)</f>
        <v>229000</v>
      </c>
      <c r="D29" s="7">
        <f>[1]Tasandusfond!AY26/[1]Tasandusfond!AY$83*[1]Tasandusfond!AY$84</f>
        <v>20723.619193175011</v>
      </c>
      <c r="E29" s="7">
        <f>[1]Tasandusfond!AS26</f>
        <v>0</v>
      </c>
      <c r="F29" s="7">
        <f>[1]Tasandusfond!AX26</f>
        <v>0</v>
      </c>
      <c r="G29" s="11">
        <f t="shared" si="0"/>
        <v>249723.61919317502</v>
      </c>
      <c r="H29" s="19">
        <v>28276</v>
      </c>
      <c r="I29" s="13">
        <f t="shared" si="1"/>
        <v>277999.61919317499</v>
      </c>
      <c r="K29" s="445">
        <f t="shared" si="2"/>
        <v>0.10171236954231838</v>
      </c>
      <c r="L29" s="448">
        <f>K29-K86</f>
        <v>-0.27727535740934872</v>
      </c>
      <c r="N29" s="333">
        <f t="shared" si="3"/>
        <v>55599.923838635004</v>
      </c>
      <c r="P29" s="458">
        <f t="shared" si="4"/>
        <v>-9.8287630457681643E-2</v>
      </c>
      <c r="Q29" s="573" t="s">
        <v>322</v>
      </c>
      <c r="R29" s="202">
        <f t="shared" si="5"/>
        <v>-27323.923838635004</v>
      </c>
      <c r="S29" s="27"/>
      <c r="T29" s="10" t="s">
        <v>26</v>
      </c>
      <c r="U29" s="36" t="s">
        <v>32</v>
      </c>
    </row>
    <row r="30" spans="1:21" x14ac:dyDescent="0.35">
      <c r="A30" s="10" t="s">
        <v>26</v>
      </c>
      <c r="B30" s="36" t="s">
        <v>33</v>
      </c>
      <c r="C30" s="63">
        <f>ROUND('[1]Tulumaks 2021-2024'!K27/2.5*1.88,-3)</f>
        <v>673000</v>
      </c>
      <c r="D30" s="7">
        <f>[1]Tasandusfond!AY27/[1]Tasandusfond!AY$83*[1]Tasandusfond!AY$84</f>
        <v>60723.382520102765</v>
      </c>
      <c r="E30" s="7">
        <f>[1]Tasandusfond!AS27</f>
        <v>0</v>
      </c>
      <c r="F30" s="7">
        <f>[1]Tasandusfond!AX27</f>
        <v>0</v>
      </c>
      <c r="G30" s="11">
        <f t="shared" si="0"/>
        <v>733723.38252010278</v>
      </c>
      <c r="H30" s="19">
        <v>76982</v>
      </c>
      <c r="I30" s="13">
        <f t="shared" si="1"/>
        <v>810705.38252010278</v>
      </c>
      <c r="K30" s="445">
        <f t="shared" si="2"/>
        <v>9.4956813732627585E-2</v>
      </c>
      <c r="L30" s="448">
        <f>K30-K86</f>
        <v>-0.2840309132190395</v>
      </c>
      <c r="N30" s="333">
        <f t="shared" si="3"/>
        <v>162141.07650402057</v>
      </c>
      <c r="P30" s="458">
        <f t="shared" si="4"/>
        <v>-0.10504318626737243</v>
      </c>
      <c r="Q30" s="574" t="s">
        <v>323</v>
      </c>
      <c r="R30" s="202">
        <f t="shared" si="5"/>
        <v>-85159.076504020573</v>
      </c>
      <c r="S30" s="27"/>
      <c r="T30" s="10" t="s">
        <v>26</v>
      </c>
      <c r="U30" s="36" t="s">
        <v>33</v>
      </c>
    </row>
    <row r="31" spans="1:21" x14ac:dyDescent="0.35">
      <c r="A31" s="10" t="s">
        <v>26</v>
      </c>
      <c r="B31" s="36" t="s">
        <v>34</v>
      </c>
      <c r="C31" s="63">
        <f>ROUND('[1]Tulumaks 2021-2024'!K28/2.5*1.88,-3)</f>
        <v>217000</v>
      </c>
      <c r="D31" s="7">
        <f>[1]Tasandusfond!AY28/[1]Tasandusfond!AY$83*[1]Tasandusfond!AY$84</f>
        <v>19663.922064520073</v>
      </c>
      <c r="E31" s="7">
        <f>[1]Tasandusfond!AS28</f>
        <v>0</v>
      </c>
      <c r="F31" s="7">
        <f>[1]Tasandusfond!AX28</f>
        <v>0</v>
      </c>
      <c r="G31" s="11">
        <f t="shared" si="0"/>
        <v>236663.92206452007</v>
      </c>
      <c r="H31" s="19">
        <v>55000</v>
      </c>
      <c r="I31" s="13">
        <f t="shared" si="1"/>
        <v>291663.92206452007</v>
      </c>
      <c r="K31" s="445">
        <f t="shared" si="2"/>
        <v>0.1885732030574328</v>
      </c>
      <c r="L31" s="446">
        <f>K31-K86</f>
        <v>-0.1904145238942343</v>
      </c>
      <c r="N31" s="333">
        <f t="shared" si="3"/>
        <v>58332.784412904017</v>
      </c>
      <c r="P31" s="458">
        <f t="shared" si="4"/>
        <v>-1.1426796942567203E-2</v>
      </c>
      <c r="Q31" s="573" t="s">
        <v>322</v>
      </c>
      <c r="R31" s="202">
        <f t="shared" si="5"/>
        <v>-3332.7844129040168</v>
      </c>
      <c r="S31" s="27"/>
      <c r="T31" s="10" t="s">
        <v>26</v>
      </c>
      <c r="U31" s="36" t="s">
        <v>34</v>
      </c>
    </row>
    <row r="32" spans="1:21" x14ac:dyDescent="0.35">
      <c r="A32" s="10" t="s">
        <v>35</v>
      </c>
      <c r="B32" s="36" t="s">
        <v>36</v>
      </c>
      <c r="C32" s="63">
        <f>ROUND('[1]Tulumaks 2021-2024'!K29/2.5*1.88,-3)</f>
        <v>583000</v>
      </c>
      <c r="D32" s="7">
        <f>[1]Tasandusfond!AY29/[1]Tasandusfond!AY$83*[1]Tasandusfond!AY$84</f>
        <v>52592.951248529636</v>
      </c>
      <c r="E32" s="7">
        <f>[1]Tasandusfond!AS29</f>
        <v>6960</v>
      </c>
      <c r="F32" s="7">
        <f>[1]Tasandusfond!AX29</f>
        <v>258309.16714816168</v>
      </c>
      <c r="G32" s="11">
        <f t="shared" si="0"/>
        <v>900862.11839669128</v>
      </c>
      <c r="H32" s="19">
        <v>619138</v>
      </c>
      <c r="I32" s="13">
        <f t="shared" si="1"/>
        <v>1520000.1183966913</v>
      </c>
      <c r="J32" s="32"/>
      <c r="K32" s="445">
        <f t="shared" si="2"/>
        <v>0.40732759985115785</v>
      </c>
      <c r="L32" s="447">
        <f>K32-K86</f>
        <v>2.8339872899490748E-2</v>
      </c>
      <c r="N32" s="333">
        <f t="shared" si="3"/>
        <v>304000.02367933828</v>
      </c>
      <c r="P32" s="458">
        <f t="shared" si="4"/>
        <v>0.20732759985115781</v>
      </c>
      <c r="Q32" s="572" t="s">
        <v>365</v>
      </c>
      <c r="R32" s="202">
        <f t="shared" si="5"/>
        <v>315137.97632066172</v>
      </c>
      <c r="S32" s="27"/>
      <c r="T32" s="10" t="s">
        <v>35</v>
      </c>
      <c r="U32" s="36" t="s">
        <v>36</v>
      </c>
    </row>
    <row r="33" spans="1:21" x14ac:dyDescent="0.35">
      <c r="A33" s="10" t="s">
        <v>35</v>
      </c>
      <c r="B33" s="36" t="s">
        <v>37</v>
      </c>
      <c r="C33" s="63">
        <f>ROUND('[1]Tulumaks 2021-2024'!K30/2.5*1.88,-3)</f>
        <v>242000</v>
      </c>
      <c r="D33" s="7">
        <f>[1]Tasandusfond!AY30/[1]Tasandusfond!AY$83*[1]Tasandusfond!AY$84</f>
        <v>21795.74155860228</v>
      </c>
      <c r="E33" s="7">
        <f>[1]Tasandusfond!AS30</f>
        <v>0</v>
      </c>
      <c r="F33" s="7">
        <f>[1]Tasandusfond!AX30</f>
        <v>120292.14572420172</v>
      </c>
      <c r="G33" s="11">
        <f t="shared" si="0"/>
        <v>384087.887282804</v>
      </c>
      <c r="H33" s="19">
        <v>315912</v>
      </c>
      <c r="I33" s="13">
        <f t="shared" si="1"/>
        <v>699999.887282804</v>
      </c>
      <c r="K33" s="445">
        <f t="shared" si="2"/>
        <v>0.45130292981371539</v>
      </c>
      <c r="L33" s="447">
        <f>K33-K86</f>
        <v>7.2315202862048289E-2</v>
      </c>
      <c r="N33" s="333">
        <f t="shared" si="3"/>
        <v>139999.97745656079</v>
      </c>
      <c r="P33" s="458">
        <f t="shared" si="4"/>
        <v>0.25130292981371544</v>
      </c>
      <c r="Q33" s="572" t="s">
        <v>365</v>
      </c>
      <c r="R33" s="202">
        <f t="shared" si="5"/>
        <v>175912.02254343921</v>
      </c>
      <c r="S33" s="27"/>
      <c r="T33" s="10" t="s">
        <v>35</v>
      </c>
      <c r="U33" s="36" t="s">
        <v>37</v>
      </c>
    </row>
    <row r="34" spans="1:21" x14ac:dyDescent="0.35">
      <c r="A34" s="10" t="s">
        <v>35</v>
      </c>
      <c r="B34" s="36" t="s">
        <v>38</v>
      </c>
      <c r="C34" s="63">
        <f>ROUND('[1]Tulumaks 2021-2024'!K31/2.5*1.88,-3)</f>
        <v>426000</v>
      </c>
      <c r="D34" s="7">
        <f>[1]Tasandusfond!AY31/[1]Tasandusfond!AY$83*[1]Tasandusfond!AY$84</f>
        <v>38224.883363226421</v>
      </c>
      <c r="E34" s="7">
        <f>[1]Tasandusfond!AS31</f>
        <v>104400</v>
      </c>
      <c r="F34" s="7">
        <f>[1]Tasandusfond!AX31</f>
        <v>167773.12085795292</v>
      </c>
      <c r="G34" s="11">
        <f t="shared" si="0"/>
        <v>736398.00422117929</v>
      </c>
      <c r="H34" s="19">
        <v>667040</v>
      </c>
      <c r="I34" s="13">
        <f t="shared" si="1"/>
        <v>1403438.0042211793</v>
      </c>
      <c r="K34" s="445">
        <f t="shared" si="2"/>
        <v>0.47528996506701104</v>
      </c>
      <c r="L34" s="447">
        <f>K34-K86</f>
        <v>9.6302238115343941E-2</v>
      </c>
      <c r="N34" s="333">
        <f t="shared" si="3"/>
        <v>280687.60084423586</v>
      </c>
      <c r="P34" s="458">
        <f t="shared" si="4"/>
        <v>0.27528996506701103</v>
      </c>
      <c r="Q34" s="572" t="s">
        <v>365</v>
      </c>
      <c r="R34" s="202">
        <f t="shared" si="5"/>
        <v>386352.39915576414</v>
      </c>
      <c r="S34" s="27"/>
      <c r="T34" s="10" t="s">
        <v>35</v>
      </c>
      <c r="U34" s="36" t="s">
        <v>38</v>
      </c>
    </row>
    <row r="35" spans="1:21" x14ac:dyDescent="0.35">
      <c r="A35" s="10" t="s">
        <v>39</v>
      </c>
      <c r="B35" s="36" t="s">
        <v>40</v>
      </c>
      <c r="C35" s="63">
        <f>ROUND('[1]Tulumaks 2021-2024'!K32/2.5*1.88,-3)</f>
        <v>357000</v>
      </c>
      <c r="D35" s="7">
        <f>[1]Tasandusfond!AY32/[1]Tasandusfond!AY$83*[1]Tasandusfond!AY$84</f>
        <v>32272.331261455591</v>
      </c>
      <c r="E35" s="7">
        <f>[1]Tasandusfond!AS32</f>
        <v>6960</v>
      </c>
      <c r="F35" s="7">
        <f>[1]Tasandusfond!AX32</f>
        <v>134021.96130870021</v>
      </c>
      <c r="G35" s="11">
        <f t="shared" si="0"/>
        <v>530254.29257015581</v>
      </c>
      <c r="H35" s="19">
        <v>386746</v>
      </c>
      <c r="I35" s="13">
        <f t="shared" si="1"/>
        <v>917000.29257015581</v>
      </c>
      <c r="K35" s="445">
        <f t="shared" si="2"/>
        <v>0.42175122858034608</v>
      </c>
      <c r="L35" s="447">
        <f>K35-K86</f>
        <v>4.2763501628678979E-2</v>
      </c>
      <c r="N35" s="333">
        <f t="shared" si="3"/>
        <v>183400.05851403117</v>
      </c>
      <c r="P35" s="458">
        <f t="shared" si="4"/>
        <v>0.22175122858034604</v>
      </c>
      <c r="Q35" s="572" t="s">
        <v>365</v>
      </c>
      <c r="R35" s="202">
        <f t="shared" si="5"/>
        <v>203345.94148596883</v>
      </c>
      <c r="S35" s="27"/>
      <c r="T35" s="10" t="s">
        <v>39</v>
      </c>
      <c r="U35" s="36" t="s">
        <v>40</v>
      </c>
    </row>
    <row r="36" spans="1:21" x14ac:dyDescent="0.35">
      <c r="A36" s="10" t="s">
        <v>39</v>
      </c>
      <c r="B36" s="36" t="s">
        <v>41</v>
      </c>
      <c r="C36" s="63">
        <f>ROUND('[1]Tulumaks 2021-2024'!K33/2.5*1.88,-3)</f>
        <v>455000</v>
      </c>
      <c r="D36" s="7">
        <f>[1]Tasandusfond!AY33/[1]Tasandusfond!AY$83*[1]Tasandusfond!AY$84</f>
        <v>41114.787417669962</v>
      </c>
      <c r="E36" s="7">
        <f>[1]Tasandusfond!AS33</f>
        <v>0</v>
      </c>
      <c r="F36" s="7">
        <f>[1]Tasandusfond!AX33</f>
        <v>0</v>
      </c>
      <c r="G36" s="11">
        <f t="shared" si="0"/>
        <v>496114.78741766996</v>
      </c>
      <c r="H36" s="19">
        <v>213885</v>
      </c>
      <c r="I36" s="13">
        <f t="shared" si="1"/>
        <v>709999.78741767001</v>
      </c>
      <c r="K36" s="445">
        <f t="shared" si="2"/>
        <v>0.30124656906999653</v>
      </c>
      <c r="L36" s="450">
        <f>K36-K86</f>
        <v>-7.7741157881670575E-2</v>
      </c>
      <c r="N36" s="333">
        <f t="shared" si="3"/>
        <v>141999.957483534</v>
      </c>
      <c r="P36" s="458">
        <f t="shared" si="4"/>
        <v>0.10124656906999656</v>
      </c>
      <c r="Q36" s="575" t="s">
        <v>366</v>
      </c>
      <c r="R36" s="202">
        <f t="shared" si="5"/>
        <v>71885.042516465997</v>
      </c>
      <c r="S36" s="27"/>
      <c r="T36" s="10" t="s">
        <v>39</v>
      </c>
      <c r="U36" s="36" t="s">
        <v>41</v>
      </c>
    </row>
    <row r="37" spans="1:21" x14ac:dyDescent="0.35">
      <c r="A37" s="10" t="s">
        <v>39</v>
      </c>
      <c r="B37" s="36" t="s">
        <v>42</v>
      </c>
      <c r="C37" s="63">
        <f>ROUND('[1]Tulumaks 2021-2024'!K34/2.5*1.88,-3)</f>
        <v>491000</v>
      </c>
      <c r="D37" s="7">
        <f>[1]Tasandusfond!AY34/[1]Tasandusfond!AY$83*[1]Tasandusfond!AY$84</f>
        <v>44345.392696818846</v>
      </c>
      <c r="E37" s="7">
        <f>[1]Tasandusfond!AS34</f>
        <v>0</v>
      </c>
      <c r="F37" s="7">
        <f>[1]Tasandusfond!AX34</f>
        <v>0</v>
      </c>
      <c r="G37" s="11">
        <f t="shared" si="0"/>
        <v>535345.3926968188</v>
      </c>
      <c r="H37" s="19">
        <v>64655</v>
      </c>
      <c r="I37" s="13">
        <f t="shared" si="1"/>
        <v>600000.3926968188</v>
      </c>
      <c r="K37" s="445">
        <f t="shared" si="2"/>
        <v>0.10775826280612166</v>
      </c>
      <c r="L37" s="448">
        <f>K37-K86</f>
        <v>-0.27122946414554544</v>
      </c>
      <c r="N37" s="333">
        <f t="shared" si="3"/>
        <v>120000.07853936376</v>
      </c>
      <c r="P37" s="458">
        <f t="shared" si="4"/>
        <v>-9.2241737193878348E-2</v>
      </c>
      <c r="Q37" s="573" t="s">
        <v>322</v>
      </c>
      <c r="R37" s="202">
        <f t="shared" si="5"/>
        <v>-55345.078539363763</v>
      </c>
      <c r="S37" s="27"/>
      <c r="T37" s="10" t="s">
        <v>39</v>
      </c>
      <c r="U37" s="36" t="s">
        <v>42</v>
      </c>
    </row>
    <row r="38" spans="1:21" x14ac:dyDescent="0.35">
      <c r="A38" s="10" t="s">
        <v>43</v>
      </c>
      <c r="B38" s="36" t="s">
        <v>44</v>
      </c>
      <c r="C38" s="63">
        <f>ROUND('[1]Tulumaks 2021-2024'!K35/2.5*1.88,-3)</f>
        <v>611000</v>
      </c>
      <c r="D38" s="7">
        <f>[1]Tasandusfond!AY35/[1]Tasandusfond!AY$83*[1]Tasandusfond!AY$84</f>
        <v>55145.962965416576</v>
      </c>
      <c r="E38" s="7">
        <f>[1]Tasandusfond!AS35</f>
        <v>0</v>
      </c>
      <c r="F38" s="7">
        <f>[1]Tasandusfond!AX35</f>
        <v>0</v>
      </c>
      <c r="G38" s="11">
        <f t="shared" si="0"/>
        <v>666145.96296541661</v>
      </c>
      <c r="H38" s="19">
        <v>168854</v>
      </c>
      <c r="I38" s="13">
        <f t="shared" si="1"/>
        <v>834999.96296541661</v>
      </c>
      <c r="K38" s="445">
        <f t="shared" si="2"/>
        <v>0.20222036825047557</v>
      </c>
      <c r="L38" s="446">
        <f>K38-K86</f>
        <v>-0.17676735870119153</v>
      </c>
      <c r="N38" s="333">
        <f t="shared" si="3"/>
        <v>166999.99259308333</v>
      </c>
      <c r="P38" s="458">
        <f t="shared" si="4"/>
        <v>2.2203682504755525E-3</v>
      </c>
      <c r="Q38" s="571" t="s">
        <v>364</v>
      </c>
      <c r="R38" s="202">
        <f t="shared" si="5"/>
        <v>1854.0074069166731</v>
      </c>
      <c r="S38" s="27"/>
      <c r="T38" s="10" t="s">
        <v>43</v>
      </c>
      <c r="U38" s="36" t="s">
        <v>44</v>
      </c>
    </row>
    <row r="39" spans="1:21" ht="13.25" customHeight="1" x14ac:dyDescent="0.35">
      <c r="A39" s="10" t="s">
        <v>43</v>
      </c>
      <c r="B39" s="36" t="s">
        <v>45</v>
      </c>
      <c r="C39" s="63">
        <f>ROUND('[1]Tulumaks 2021-2024'!K36/2.5*1.88,-3)</f>
        <v>305000</v>
      </c>
      <c r="D39" s="7">
        <f>[1]Tasandusfond!AY36/[1]Tasandusfond!AY$83*[1]Tasandusfond!AY$84</f>
        <v>27535.288668300065</v>
      </c>
      <c r="E39" s="7">
        <f>[1]Tasandusfond!AS36</f>
        <v>111360</v>
      </c>
      <c r="F39" s="7">
        <f>[1]Tasandusfond!AX36</f>
        <v>0</v>
      </c>
      <c r="G39" s="11">
        <f t="shared" si="0"/>
        <v>443895.28866830008</v>
      </c>
      <c r="H39" s="19">
        <v>216620</v>
      </c>
      <c r="I39" s="13">
        <f t="shared" si="1"/>
        <v>660515.28866830003</v>
      </c>
      <c r="J39" s="33"/>
      <c r="K39" s="445">
        <f t="shared" si="2"/>
        <v>0.32795607265463772</v>
      </c>
      <c r="L39" s="450">
        <f>K39-K86</f>
        <v>-5.1031654297029383E-2</v>
      </c>
      <c r="N39" s="333">
        <f t="shared" si="3"/>
        <v>132103.05773366001</v>
      </c>
      <c r="P39" s="458">
        <f t="shared" ref="P39:P70" si="6">(R39/I39)</f>
        <v>0.12795607265463771</v>
      </c>
      <c r="Q39" s="575" t="s">
        <v>366</v>
      </c>
      <c r="R39" s="202">
        <f t="shared" ref="R39:R70" si="7">H39-N39</f>
        <v>84516.942266339989</v>
      </c>
      <c r="S39" s="27"/>
      <c r="T39" s="10" t="s">
        <v>43</v>
      </c>
      <c r="U39" s="36" t="s">
        <v>45</v>
      </c>
    </row>
    <row r="40" spans="1:21" x14ac:dyDescent="0.35">
      <c r="A40" s="10" t="s">
        <v>43</v>
      </c>
      <c r="B40" s="36" t="s">
        <v>46</v>
      </c>
      <c r="C40" s="63">
        <f>ROUND('[1]Tulumaks 2021-2024'!K37/2.5*1.88,-3)</f>
        <v>20000</v>
      </c>
      <c r="D40" s="7">
        <f>[1]Tasandusfond!AY37/[1]Tasandusfond!AY$83*[1]Tasandusfond!AY$84</f>
        <v>1808.8956335075065</v>
      </c>
      <c r="E40" s="7">
        <f>[1]Tasandusfond!AS37</f>
        <v>0</v>
      </c>
      <c r="F40" s="7">
        <f>[1]Tasandusfond!AX37</f>
        <v>0</v>
      </c>
      <c r="G40" s="11">
        <f t="shared" si="0"/>
        <v>21808.895633507505</v>
      </c>
      <c r="H40" s="19">
        <v>11447</v>
      </c>
      <c r="I40" s="13">
        <f t="shared" si="1"/>
        <v>33255.895633507505</v>
      </c>
      <c r="K40" s="445">
        <f t="shared" si="2"/>
        <v>0.34420964409289262</v>
      </c>
      <c r="L40" s="450">
        <f>K40-K86</f>
        <v>-3.4778082858774484E-2</v>
      </c>
      <c r="N40" s="333">
        <f t="shared" si="3"/>
        <v>6651.1791267015014</v>
      </c>
      <c r="P40" s="458">
        <f t="shared" si="6"/>
        <v>0.14420964409289261</v>
      </c>
      <c r="Q40" s="575" t="s">
        <v>366</v>
      </c>
      <c r="R40" s="202">
        <f t="shared" si="7"/>
        <v>4795.8208732984986</v>
      </c>
      <c r="S40" s="27"/>
      <c r="T40" s="10" t="s">
        <v>43</v>
      </c>
      <c r="U40" s="36" t="s">
        <v>46</v>
      </c>
    </row>
    <row r="41" spans="1:21" x14ac:dyDescent="0.35">
      <c r="A41" s="10" t="s">
        <v>47</v>
      </c>
      <c r="B41" s="36" t="s">
        <v>48</v>
      </c>
      <c r="C41" s="63">
        <f>ROUND('[1]Tulumaks 2021-2024'!K38/2.5*1.88,-3)</f>
        <v>190000</v>
      </c>
      <c r="D41" s="7">
        <f>[1]Tasandusfond!AY38/[1]Tasandusfond!AY$83*[1]Tasandusfond!AY$84</f>
        <v>17276.280317578752</v>
      </c>
      <c r="E41" s="7">
        <f>[1]Tasandusfond!AS38</f>
        <v>0</v>
      </c>
      <c r="F41" s="7">
        <f>[1]Tasandusfond!AX38</f>
        <v>0</v>
      </c>
      <c r="G41" s="11">
        <f t="shared" si="0"/>
        <v>207276.28031757876</v>
      </c>
      <c r="H41" s="19">
        <v>97924</v>
      </c>
      <c r="I41" s="13">
        <f t="shared" si="1"/>
        <v>305200.28031757876</v>
      </c>
      <c r="K41" s="445">
        <f t="shared" si="2"/>
        <v>0.32085160570004834</v>
      </c>
      <c r="L41" s="450">
        <f>K41-K86</f>
        <v>-5.8136121251618766E-2</v>
      </c>
      <c r="N41" s="333">
        <f t="shared" si="3"/>
        <v>61040.056063515753</v>
      </c>
      <c r="P41" s="458">
        <f t="shared" si="6"/>
        <v>0.12085160570004833</v>
      </c>
      <c r="Q41" s="575" t="s">
        <v>366</v>
      </c>
      <c r="R41" s="202">
        <f t="shared" si="7"/>
        <v>36883.943936484247</v>
      </c>
      <c r="S41" s="27"/>
      <c r="T41" s="10" t="s">
        <v>47</v>
      </c>
      <c r="U41" s="36" t="s">
        <v>48</v>
      </c>
    </row>
    <row r="42" spans="1:21" x14ac:dyDescent="0.35">
      <c r="A42" s="10" t="s">
        <v>47</v>
      </c>
      <c r="B42" s="36" t="s">
        <v>49</v>
      </c>
      <c r="C42" s="63">
        <f>ROUND('[1]Tulumaks 2021-2024'!K39/2.5*1.88,-3)</f>
        <v>178000</v>
      </c>
      <c r="D42" s="7">
        <f>[1]Tasandusfond!AY39/[1]Tasandusfond!AY$83*[1]Tasandusfond!AY$84</f>
        <v>16080.742764766695</v>
      </c>
      <c r="E42" s="7">
        <f>[1]Tasandusfond!AS39</f>
        <v>0</v>
      </c>
      <c r="F42" s="7">
        <f>[1]Tasandusfond!AX39</f>
        <v>7528.5213903625845</v>
      </c>
      <c r="G42" s="11">
        <f t="shared" si="0"/>
        <v>201609.26415512929</v>
      </c>
      <c r="H42" s="19">
        <v>104660</v>
      </c>
      <c r="I42" s="13">
        <f t="shared" si="1"/>
        <v>306269.26415512932</v>
      </c>
      <c r="K42" s="445">
        <f t="shared" si="2"/>
        <v>0.34172544309568187</v>
      </c>
      <c r="L42" s="450">
        <f>K42-K86</f>
        <v>-3.7262283855985234E-2</v>
      </c>
      <c r="N42" s="333">
        <f t="shared" si="3"/>
        <v>61253.85283102587</v>
      </c>
      <c r="P42" s="458">
        <f t="shared" si="6"/>
        <v>0.14172544309568183</v>
      </c>
      <c r="Q42" s="575" t="s">
        <v>366</v>
      </c>
      <c r="R42" s="202">
        <f t="shared" si="7"/>
        <v>43406.14716897413</v>
      </c>
      <c r="S42" s="27"/>
      <c r="T42" s="10" t="s">
        <v>47</v>
      </c>
      <c r="U42" s="36" t="s">
        <v>49</v>
      </c>
    </row>
    <row r="43" spans="1:21" x14ac:dyDescent="0.35">
      <c r="A43" s="10" t="s">
        <v>47</v>
      </c>
      <c r="B43" s="36" t="s">
        <v>50</v>
      </c>
      <c r="C43" s="63">
        <f>ROUND('[1]Tulumaks 2021-2024'!K40/2.5*1.88,-3)</f>
        <v>210000</v>
      </c>
      <c r="D43" s="7">
        <f>[1]Tasandusfond!AY40/[1]Tasandusfond!AY$83*[1]Tasandusfond!AY$84</f>
        <v>18991.250945701751</v>
      </c>
      <c r="E43" s="7">
        <f>[1]Tasandusfond!AS40</f>
        <v>0</v>
      </c>
      <c r="F43" s="7">
        <f>[1]Tasandusfond!AX40</f>
        <v>0</v>
      </c>
      <c r="G43" s="11">
        <f t="shared" si="0"/>
        <v>228991.25094570176</v>
      </c>
      <c r="H43" s="19">
        <v>147585</v>
      </c>
      <c r="I43" s="13">
        <f t="shared" si="1"/>
        <v>376576.25094570173</v>
      </c>
      <c r="J43" s="45"/>
      <c r="K43" s="445">
        <f t="shared" si="2"/>
        <v>0.39191265946635645</v>
      </c>
      <c r="L43" s="447">
        <f>K43-K86</f>
        <v>1.2924932514689347E-2</v>
      </c>
      <c r="N43" s="333">
        <f t="shared" si="3"/>
        <v>75315.250189140352</v>
      </c>
      <c r="P43" s="458">
        <f t="shared" si="6"/>
        <v>0.19191265946635647</v>
      </c>
      <c r="Q43" s="575" t="s">
        <v>366</v>
      </c>
      <c r="R43" s="202">
        <f t="shared" si="7"/>
        <v>72269.749810859648</v>
      </c>
      <c r="S43" s="27"/>
      <c r="T43" s="10" t="s">
        <v>47</v>
      </c>
      <c r="U43" s="36" t="s">
        <v>50</v>
      </c>
    </row>
    <row r="44" spans="1:21" x14ac:dyDescent="0.35">
      <c r="A44" s="10" t="s">
        <v>47</v>
      </c>
      <c r="B44" s="36" t="s">
        <v>51</v>
      </c>
      <c r="C44" s="63">
        <f>ROUND('[1]Tulumaks 2021-2024'!K41/2.5*1.88,-3)</f>
        <v>596000</v>
      </c>
      <c r="D44" s="7">
        <f>[1]Tasandusfond!AY41/[1]Tasandusfond!AY$83*[1]Tasandusfond!AY$84</f>
        <v>53728.735538518034</v>
      </c>
      <c r="E44" s="7">
        <f>[1]Tasandusfond!AS41</f>
        <v>0</v>
      </c>
      <c r="F44" s="7">
        <f>[1]Tasandusfond!AX41</f>
        <v>0</v>
      </c>
      <c r="G44" s="11">
        <f t="shared" si="0"/>
        <v>649728.73553851806</v>
      </c>
      <c r="H44" s="19">
        <v>397391</v>
      </c>
      <c r="I44" s="13">
        <f t="shared" si="1"/>
        <v>1047119.7355385181</v>
      </c>
      <c r="K44" s="445">
        <f t="shared" si="2"/>
        <v>0.37950865265243783</v>
      </c>
      <c r="L44" s="447">
        <f>K44-K86</f>
        <v>5.2092570077072464E-4</v>
      </c>
      <c r="N44" s="333">
        <f t="shared" si="3"/>
        <v>209423.94710770363</v>
      </c>
      <c r="P44" s="458">
        <f t="shared" si="6"/>
        <v>0.17950865265243782</v>
      </c>
      <c r="Q44" s="575" t="s">
        <v>366</v>
      </c>
      <c r="R44" s="202">
        <f t="shared" si="7"/>
        <v>187967.05289229637</v>
      </c>
      <c r="S44" s="27"/>
      <c r="T44" s="10" t="s">
        <v>47</v>
      </c>
      <c r="U44" s="36" t="s">
        <v>51</v>
      </c>
    </row>
    <row r="45" spans="1:21" x14ac:dyDescent="0.35">
      <c r="A45" s="10" t="s">
        <v>47</v>
      </c>
      <c r="B45" s="36" t="s">
        <v>52</v>
      </c>
      <c r="C45" s="63">
        <f>ROUND('[1]Tulumaks 2021-2024'!K42/2.5*1.88,-3)</f>
        <v>469000</v>
      </c>
      <c r="D45" s="7">
        <f>[1]Tasandusfond!AY42/[1]Tasandusfond!AY$83*[1]Tasandusfond!AY$84</f>
        <v>42346.958625963765</v>
      </c>
      <c r="E45" s="7">
        <f>[1]Tasandusfond!AS42</f>
        <v>0</v>
      </c>
      <c r="F45" s="7">
        <f>[1]Tasandusfond!AX42</f>
        <v>151693.50944611715</v>
      </c>
      <c r="G45" s="11">
        <f t="shared" si="0"/>
        <v>663040.46807208098</v>
      </c>
      <c r="H45" s="19">
        <v>493115</v>
      </c>
      <c r="I45" s="13">
        <f t="shared" si="1"/>
        <v>1156155.468072081</v>
      </c>
      <c r="K45" s="445">
        <f t="shared" si="2"/>
        <v>0.42651270838365879</v>
      </c>
      <c r="L45" s="447">
        <f>K45-K86</f>
        <v>4.7524981431991686E-2</v>
      </c>
      <c r="N45" s="333">
        <f t="shared" si="3"/>
        <v>231231.0936144162</v>
      </c>
      <c r="P45" s="458">
        <f t="shared" si="6"/>
        <v>0.22651270838365878</v>
      </c>
      <c r="Q45" s="572" t="s">
        <v>365</v>
      </c>
      <c r="R45" s="202">
        <f t="shared" si="7"/>
        <v>261883.9063855838</v>
      </c>
      <c r="S45" s="27"/>
      <c r="T45" s="10" t="s">
        <v>47</v>
      </c>
      <c r="U45" s="36" t="s">
        <v>52</v>
      </c>
    </row>
    <row r="46" spans="1:21" x14ac:dyDescent="0.35">
      <c r="A46" s="10" t="s">
        <v>47</v>
      </c>
      <c r="B46" s="36" t="s">
        <v>53</v>
      </c>
      <c r="C46" s="63">
        <f>ROUND('[1]Tulumaks 2021-2024'!K43/2.5*1.88,-3)</f>
        <v>259000</v>
      </c>
      <c r="D46" s="7">
        <f>[1]Tasandusfond!AY43/[1]Tasandusfond!AY$83*[1]Tasandusfond!AY$84</f>
        <v>23518.558713361737</v>
      </c>
      <c r="E46" s="7">
        <f>[1]Tasandusfond!AS43</f>
        <v>0</v>
      </c>
      <c r="F46" s="7">
        <f>[1]Tasandusfond!AX43</f>
        <v>51302.985817278561</v>
      </c>
      <c r="G46" s="11">
        <f t="shared" si="0"/>
        <v>333821.5445306403</v>
      </c>
      <c r="H46" s="19">
        <v>478823</v>
      </c>
      <c r="I46" s="13">
        <f t="shared" si="1"/>
        <v>812644.54453064036</v>
      </c>
      <c r="K46" s="445">
        <f t="shared" si="2"/>
        <v>0.58921579332887064</v>
      </c>
      <c r="L46" s="451">
        <f>K46-K86</f>
        <v>0.21022806637720354</v>
      </c>
      <c r="N46" s="333">
        <f t="shared" si="3"/>
        <v>162528.90890612808</v>
      </c>
      <c r="P46" s="458">
        <f t="shared" si="6"/>
        <v>0.38921579332887063</v>
      </c>
      <c r="Q46" s="576" t="s">
        <v>363</v>
      </c>
      <c r="R46" s="202">
        <f t="shared" si="7"/>
        <v>316294.09109387192</v>
      </c>
      <c r="S46" s="27"/>
      <c r="T46" s="10" t="s">
        <v>47</v>
      </c>
      <c r="U46" s="36" t="s">
        <v>53</v>
      </c>
    </row>
    <row r="47" spans="1:21" x14ac:dyDescent="0.35">
      <c r="A47" s="10" t="s">
        <v>47</v>
      </c>
      <c r="B47" s="36" t="s">
        <v>54</v>
      </c>
      <c r="C47" s="63">
        <f>ROUND('[1]Tulumaks 2021-2024'!K44/2.5*1.88,-3)</f>
        <v>268000</v>
      </c>
      <c r="D47" s="7">
        <f>[1]Tasandusfond!AY44/[1]Tasandusfond!AY$83*[1]Tasandusfond!AY$84</f>
        <v>24107.768371428847</v>
      </c>
      <c r="E47" s="7">
        <f>[1]Tasandusfond!AS44</f>
        <v>0</v>
      </c>
      <c r="F47" s="7">
        <f>[1]Tasandusfond!AX44</f>
        <v>15146.561433686002</v>
      </c>
      <c r="G47" s="11">
        <f t="shared" si="0"/>
        <v>307254.32980511483</v>
      </c>
      <c r="H47" s="19">
        <v>170000</v>
      </c>
      <c r="I47" s="13">
        <f t="shared" si="1"/>
        <v>477254.32980511483</v>
      </c>
      <c r="K47" s="445">
        <f t="shared" si="2"/>
        <v>0.35620420682075093</v>
      </c>
      <c r="L47" s="450">
        <f>K47-K86</f>
        <v>-2.2783520130916168E-2</v>
      </c>
      <c r="N47" s="333">
        <f t="shared" si="3"/>
        <v>95450.865961022966</v>
      </c>
      <c r="P47" s="458">
        <f t="shared" si="6"/>
        <v>0.15620420682075092</v>
      </c>
      <c r="Q47" s="575" t="s">
        <v>366</v>
      </c>
      <c r="R47" s="202">
        <f t="shared" si="7"/>
        <v>74549.134038977034</v>
      </c>
      <c r="S47" s="27"/>
      <c r="T47" s="10" t="s">
        <v>47</v>
      </c>
      <c r="U47" s="36" t="s">
        <v>54</v>
      </c>
    </row>
    <row r="48" spans="1:21" ht="17" customHeight="1" x14ac:dyDescent="0.35">
      <c r="A48" s="10" t="s">
        <v>47</v>
      </c>
      <c r="B48" s="36" t="s">
        <v>55</v>
      </c>
      <c r="C48" s="63">
        <f>ROUND('[1]Tulumaks 2021-2024'!K45/2.5*1.88,-3)</f>
        <v>239000</v>
      </c>
      <c r="D48" s="7">
        <f>[1]Tasandusfond!AY45/[1]Tasandusfond!AY$83*[1]Tasandusfond!AY$84</f>
        <v>21545.497005924681</v>
      </c>
      <c r="E48" s="7">
        <f>[1]Tasandusfond!AS45</f>
        <v>41760</v>
      </c>
      <c r="F48" s="7">
        <f>[1]Tasandusfond!AX45</f>
        <v>31735.495854248758</v>
      </c>
      <c r="G48" s="11">
        <f t="shared" si="0"/>
        <v>334040.99286017346</v>
      </c>
      <c r="H48" s="19">
        <v>128536</v>
      </c>
      <c r="I48" s="13">
        <f t="shared" si="1"/>
        <v>462576.99286017346</v>
      </c>
      <c r="K48" s="445">
        <f t="shared" si="2"/>
        <v>0.27786941846209268</v>
      </c>
      <c r="L48" s="450">
        <f>K48-K86</f>
        <v>-0.10111830848957443</v>
      </c>
      <c r="N48" s="333">
        <f t="shared" si="3"/>
        <v>92515.398572034697</v>
      </c>
      <c r="P48" s="458">
        <f t="shared" si="6"/>
        <v>7.7869418462092679E-2</v>
      </c>
      <c r="Q48" s="571" t="s">
        <v>364</v>
      </c>
      <c r="R48" s="202">
        <f t="shared" si="7"/>
        <v>36020.601427965303</v>
      </c>
      <c r="S48" s="27"/>
      <c r="T48" s="10" t="s">
        <v>47</v>
      </c>
      <c r="U48" s="36" t="s">
        <v>55</v>
      </c>
    </row>
    <row r="49" spans="1:21" x14ac:dyDescent="0.35">
      <c r="A49" s="10" t="s">
        <v>56</v>
      </c>
      <c r="B49" s="36" t="s">
        <v>57</v>
      </c>
      <c r="C49" s="63">
        <f>ROUND('[1]Tulumaks 2021-2024'!K46/2.5*1.88,-3)</f>
        <v>194000</v>
      </c>
      <c r="D49" s="7">
        <f>[1]Tasandusfond!AY46/[1]Tasandusfond!AY$83*[1]Tasandusfond!AY$84</f>
        <v>17382.271654607794</v>
      </c>
      <c r="E49" s="7">
        <f>[1]Tasandusfond!AS46</f>
        <v>48720</v>
      </c>
      <c r="F49" s="7">
        <f>[1]Tasandusfond!AX46</f>
        <v>155658.21961998878</v>
      </c>
      <c r="G49" s="11">
        <f t="shared" si="0"/>
        <v>415760.49127459654</v>
      </c>
      <c r="H49" s="19">
        <v>73543</v>
      </c>
      <c r="I49" s="13">
        <f t="shared" si="1"/>
        <v>489303.49127459654</v>
      </c>
      <c r="K49" s="445">
        <f t="shared" si="2"/>
        <v>0.15030140048342258</v>
      </c>
      <c r="L49" s="448">
        <f>K49-K86</f>
        <v>-0.22868632646824452</v>
      </c>
      <c r="N49" s="333">
        <f t="shared" si="3"/>
        <v>97860.69825491932</v>
      </c>
      <c r="P49" s="458">
        <f t="shared" si="6"/>
        <v>-4.9698599516577444E-2</v>
      </c>
      <c r="Q49" s="573" t="s">
        <v>322</v>
      </c>
      <c r="R49" s="202">
        <f t="shared" si="7"/>
        <v>-24317.69825491932</v>
      </c>
      <c r="S49" s="27"/>
      <c r="T49" s="10" t="s">
        <v>56</v>
      </c>
      <c r="U49" s="36" t="s">
        <v>57</v>
      </c>
    </row>
    <row r="50" spans="1:21" x14ac:dyDescent="0.35">
      <c r="A50" s="10" t="s">
        <v>56</v>
      </c>
      <c r="B50" s="36" t="s">
        <v>58</v>
      </c>
      <c r="C50" s="63">
        <f>ROUND('[1]Tulumaks 2021-2024'!K47/2.5*1.88,-3)</f>
        <v>579000</v>
      </c>
      <c r="D50" s="7">
        <f>[1]Tasandusfond!AY47/[1]Tasandusfond!AY$83*[1]Tasandusfond!AY$84</f>
        <v>52346.497404464673</v>
      </c>
      <c r="E50" s="7">
        <f>[1]Tasandusfond!AS47</f>
        <v>0</v>
      </c>
      <c r="F50" s="7">
        <f>[1]Tasandusfond!AX47</f>
        <v>151303.60563466325</v>
      </c>
      <c r="G50" s="11">
        <f t="shared" si="0"/>
        <v>782650.10303912789</v>
      </c>
      <c r="H50" s="19">
        <v>404620</v>
      </c>
      <c r="I50" s="13">
        <f t="shared" si="1"/>
        <v>1187270.1030391278</v>
      </c>
      <c r="K50" s="445">
        <f t="shared" si="2"/>
        <v>0.3407986093175171</v>
      </c>
      <c r="L50" s="450">
        <f>K50-K86</f>
        <v>-3.8189117634150005E-2</v>
      </c>
      <c r="N50" s="333">
        <f t="shared" si="3"/>
        <v>237454.02060782557</v>
      </c>
      <c r="P50" s="458">
        <f t="shared" si="6"/>
        <v>0.14079860931751711</v>
      </c>
      <c r="Q50" s="575" t="s">
        <v>366</v>
      </c>
      <c r="R50" s="202">
        <f t="shared" si="7"/>
        <v>167165.97939217443</v>
      </c>
      <c r="S50" s="27"/>
      <c r="T50" s="10" t="s">
        <v>56</v>
      </c>
      <c r="U50" s="36" t="s">
        <v>58</v>
      </c>
    </row>
    <row r="51" spans="1:21" x14ac:dyDescent="0.35">
      <c r="A51" s="10" t="s">
        <v>56</v>
      </c>
      <c r="B51" s="36" t="s">
        <v>59</v>
      </c>
      <c r="C51" s="63">
        <f>ROUND('[1]Tulumaks 2021-2024'!K48/2.5*1.88,-3)</f>
        <v>274000</v>
      </c>
      <c r="D51" s="7">
        <f>[1]Tasandusfond!AY48/[1]Tasandusfond!AY$83*[1]Tasandusfond!AY$84</f>
        <v>24764.4012521484</v>
      </c>
      <c r="E51" s="7">
        <f>[1]Tasandusfond!AS48</f>
        <v>0</v>
      </c>
      <c r="F51" s="7">
        <f>[1]Tasandusfond!AX48</f>
        <v>163013.33325272537</v>
      </c>
      <c r="G51" s="11">
        <f t="shared" si="0"/>
        <v>461777.73450487375</v>
      </c>
      <c r="H51" s="19">
        <v>312223</v>
      </c>
      <c r="I51" s="13">
        <f t="shared" si="1"/>
        <v>774000.73450487375</v>
      </c>
      <c r="K51" s="445">
        <f t="shared" si="2"/>
        <v>0.40338850608420707</v>
      </c>
      <c r="L51" s="447">
        <f>K51-K86</f>
        <v>2.4400779132539963E-2</v>
      </c>
      <c r="N51" s="333">
        <f t="shared" si="3"/>
        <v>154800.14690097477</v>
      </c>
      <c r="P51" s="458">
        <f t="shared" si="6"/>
        <v>0.20338850608420705</v>
      </c>
      <c r="Q51" s="572" t="s">
        <v>365</v>
      </c>
      <c r="R51" s="202">
        <f t="shared" si="7"/>
        <v>157422.85309902523</v>
      </c>
      <c r="S51" s="27"/>
      <c r="T51" s="10" t="s">
        <v>56</v>
      </c>
      <c r="U51" s="36" t="s">
        <v>59</v>
      </c>
    </row>
    <row r="52" spans="1:21" ht="16.25" customHeight="1" x14ac:dyDescent="0.35">
      <c r="A52" s="10" t="s">
        <v>60</v>
      </c>
      <c r="B52" s="36" t="s">
        <v>61</v>
      </c>
      <c r="C52" s="63">
        <f>ROUND('[1]Tulumaks 2021-2024'!K49/2.5*1.88,-3)</f>
        <v>186000</v>
      </c>
      <c r="D52" s="7">
        <f>[1]Tasandusfond!AY49/[1]Tasandusfond!AY$83*[1]Tasandusfond!AY$84</f>
        <v>16892.446576182123</v>
      </c>
      <c r="E52" s="7">
        <f>[1]Tasandusfond!AS49</f>
        <v>0</v>
      </c>
      <c r="F52" s="7">
        <f>[1]Tasandusfond!AX49</f>
        <v>57753.838773706404</v>
      </c>
      <c r="G52" s="11">
        <f t="shared" si="0"/>
        <v>260646.28534988852</v>
      </c>
      <c r="H52" s="19">
        <v>182384</v>
      </c>
      <c r="I52" s="13">
        <f t="shared" si="1"/>
        <v>443030.28534988849</v>
      </c>
      <c r="K52" s="445">
        <f t="shared" si="2"/>
        <v>0.41167388783807418</v>
      </c>
      <c r="L52" s="447">
        <f>K52-K86</f>
        <v>3.2686160886407079E-2</v>
      </c>
      <c r="N52" s="333">
        <f t="shared" si="3"/>
        <v>88606.057069977702</v>
      </c>
      <c r="P52" s="458">
        <f t="shared" si="6"/>
        <v>0.2116738878380742</v>
      </c>
      <c r="Q52" s="572" t="s">
        <v>365</v>
      </c>
      <c r="R52" s="202">
        <f t="shared" si="7"/>
        <v>93777.942930022298</v>
      </c>
      <c r="S52" s="27"/>
      <c r="T52" s="10" t="s">
        <v>60</v>
      </c>
      <c r="U52" s="36" t="s">
        <v>61</v>
      </c>
    </row>
    <row r="53" spans="1:21" x14ac:dyDescent="0.35">
      <c r="A53" s="10" t="s">
        <v>60</v>
      </c>
      <c r="B53" s="36" t="s">
        <v>62</v>
      </c>
      <c r="C53" s="63">
        <f>ROUND('[1]Tulumaks 2021-2024'!K50/2.5*1.88,-3)</f>
        <v>25000</v>
      </c>
      <c r="D53" s="7">
        <f>[1]Tasandusfond!AY50/[1]Tasandusfond!AY$83*[1]Tasandusfond!AY$84</f>
        <v>2207.7868706132499</v>
      </c>
      <c r="E53" s="7">
        <f>[1]Tasandusfond!AS50</f>
        <v>0</v>
      </c>
      <c r="F53" s="7">
        <f>[1]Tasandusfond!AX50</f>
        <v>0</v>
      </c>
      <c r="G53" s="11">
        <f t="shared" si="0"/>
        <v>27207.78687061325</v>
      </c>
      <c r="H53" s="19">
        <v>59686</v>
      </c>
      <c r="I53" s="13">
        <f t="shared" si="1"/>
        <v>86893.786870613258</v>
      </c>
      <c r="J53" s="33"/>
      <c r="K53" s="445">
        <f t="shared" si="2"/>
        <v>0.68688455353975719</v>
      </c>
      <c r="L53" s="452">
        <f>K53-K86</f>
        <v>0.30789682658809009</v>
      </c>
      <c r="N53" s="333">
        <f t="shared" si="3"/>
        <v>17378.757374122652</v>
      </c>
      <c r="P53" s="458">
        <f t="shared" si="6"/>
        <v>0.48688455353975718</v>
      </c>
      <c r="Q53" s="576" t="s">
        <v>363</v>
      </c>
      <c r="R53" s="202">
        <f t="shared" si="7"/>
        <v>42307.242625877348</v>
      </c>
      <c r="S53" s="27"/>
      <c r="T53" s="10" t="s">
        <v>60</v>
      </c>
      <c r="U53" s="36" t="s">
        <v>62</v>
      </c>
    </row>
    <row r="54" spans="1:21" x14ac:dyDescent="0.35">
      <c r="A54" s="10" t="s">
        <v>60</v>
      </c>
      <c r="B54" s="36" t="s">
        <v>63</v>
      </c>
      <c r="C54" s="63">
        <f>ROUND('[1]Tulumaks 2021-2024'!K51/2.5*1.88,-3)</f>
        <v>239000</v>
      </c>
      <c r="D54" s="7">
        <f>[1]Tasandusfond!AY51/[1]Tasandusfond!AY$83*[1]Tasandusfond!AY$84</f>
        <v>21512.206680444178</v>
      </c>
      <c r="E54" s="7">
        <f>[1]Tasandusfond!AS51</f>
        <v>0</v>
      </c>
      <c r="F54" s="7">
        <f>[1]Tasandusfond!AX51</f>
        <v>59993.86851152376</v>
      </c>
      <c r="G54" s="11">
        <f t="shared" si="0"/>
        <v>320506.07519196795</v>
      </c>
      <c r="H54" s="19">
        <v>116994</v>
      </c>
      <c r="I54" s="13">
        <f t="shared" si="1"/>
        <v>437500.07519196795</v>
      </c>
      <c r="K54" s="445">
        <f t="shared" si="2"/>
        <v>0.26741481118298077</v>
      </c>
      <c r="L54" s="446">
        <f>K54-K86</f>
        <v>-0.11157291576868633</v>
      </c>
      <c r="N54" s="333">
        <f t="shared" si="3"/>
        <v>87500.015038393598</v>
      </c>
      <c r="P54" s="458">
        <f t="shared" si="6"/>
        <v>6.7414811182980761E-2</v>
      </c>
      <c r="Q54" s="571" t="s">
        <v>364</v>
      </c>
      <c r="R54" s="202">
        <f t="shared" si="7"/>
        <v>29493.984961606402</v>
      </c>
      <c r="S54" s="27"/>
      <c r="T54" s="10" t="s">
        <v>60</v>
      </c>
      <c r="U54" s="36" t="s">
        <v>63</v>
      </c>
    </row>
    <row r="55" spans="1:21" ht="16.25" customHeight="1" x14ac:dyDescent="0.35">
      <c r="A55" s="10" t="s">
        <v>60</v>
      </c>
      <c r="B55" s="36" t="s">
        <v>64</v>
      </c>
      <c r="C55" s="63">
        <f>ROUND('[1]Tulumaks 2021-2024'!K52/2.5*1.88,-3)</f>
        <v>362000</v>
      </c>
      <c r="D55" s="7">
        <f>[1]Tasandusfond!AY52/[1]Tasandusfond!AY$83*[1]Tasandusfond!AY$84</f>
        <v>32782.064947287858</v>
      </c>
      <c r="E55" s="7">
        <f>[1]Tasandusfond!AS52</f>
        <v>0</v>
      </c>
      <c r="F55" s="7">
        <f>[1]Tasandusfond!AX52</f>
        <v>94975.6091089127</v>
      </c>
      <c r="G55" s="11">
        <f t="shared" si="0"/>
        <v>489757.67405620054</v>
      </c>
      <c r="H55" s="19">
        <v>162242</v>
      </c>
      <c r="I55" s="13">
        <f t="shared" si="1"/>
        <v>651999.67405620054</v>
      </c>
      <c r="K55" s="445">
        <f t="shared" si="2"/>
        <v>0.24883754771020819</v>
      </c>
      <c r="L55" s="446">
        <f>K55-K86</f>
        <v>-0.13015017924145891</v>
      </c>
      <c r="N55" s="333">
        <f t="shared" si="3"/>
        <v>130399.93481124012</v>
      </c>
      <c r="P55" s="458">
        <f t="shared" si="6"/>
        <v>4.8837547710208186E-2</v>
      </c>
      <c r="Q55" s="571" t="s">
        <v>364</v>
      </c>
      <c r="R55" s="202">
        <f t="shared" si="7"/>
        <v>31842.06518875988</v>
      </c>
      <c r="S55" s="27"/>
      <c r="T55" s="10" t="s">
        <v>60</v>
      </c>
      <c r="U55" s="36" t="s">
        <v>64</v>
      </c>
    </row>
    <row r="56" spans="1:21" x14ac:dyDescent="0.35">
      <c r="A56" s="10" t="s">
        <v>60</v>
      </c>
      <c r="B56" s="36" t="s">
        <v>65</v>
      </c>
      <c r="C56" s="63">
        <f>ROUND('[1]Tulumaks 2021-2024'!K53/2.5*1.88,-3)</f>
        <v>2102000</v>
      </c>
      <c r="D56" s="7">
        <f>[1]Tasandusfond!AY53/[1]Tasandusfond!AY$83*[1]Tasandusfond!AY$84</f>
        <v>189591.22256324909</v>
      </c>
      <c r="E56" s="7">
        <f>[1]Tasandusfond!AS53</f>
        <v>0</v>
      </c>
      <c r="F56" s="7">
        <f>[1]Tasandusfond!AX53</f>
        <v>54717.082935031038</v>
      </c>
      <c r="G56" s="11">
        <f t="shared" si="0"/>
        <v>2346308.3054982801</v>
      </c>
      <c r="H56" s="19">
        <v>1437661</v>
      </c>
      <c r="I56" s="13">
        <f t="shared" si="1"/>
        <v>3783969.3054982801</v>
      </c>
      <c r="K56" s="445">
        <f t="shared" si="2"/>
        <v>0.37993463580981296</v>
      </c>
      <c r="L56" s="447">
        <f>K56-K86</f>
        <v>9.4690885814585624E-4</v>
      </c>
      <c r="N56" s="333">
        <f t="shared" si="3"/>
        <v>756793.86109965609</v>
      </c>
      <c r="P56" s="458">
        <f t="shared" si="6"/>
        <v>0.17993463580981295</v>
      </c>
      <c r="Q56" s="575" t="s">
        <v>366</v>
      </c>
      <c r="R56" s="202">
        <f t="shared" si="7"/>
        <v>680867.13890034391</v>
      </c>
      <c r="S56" s="27"/>
      <c r="T56" s="10" t="s">
        <v>60</v>
      </c>
      <c r="U56" s="36" t="s">
        <v>65</v>
      </c>
    </row>
    <row r="57" spans="1:21" x14ac:dyDescent="0.35">
      <c r="A57" s="10" t="s">
        <v>60</v>
      </c>
      <c r="B57" s="36" t="s">
        <v>66</v>
      </c>
      <c r="C57" s="63">
        <f>ROUND('[1]Tulumaks 2021-2024'!K54/2.5*1.88,-3)</f>
        <v>200000</v>
      </c>
      <c r="D57" s="7">
        <f>[1]Tasandusfond!AY54/[1]Tasandusfond!AY$83*[1]Tasandusfond!AY$84</f>
        <v>17987.657099392705</v>
      </c>
      <c r="E57" s="7">
        <f>[1]Tasandusfond!AS54</f>
        <v>0</v>
      </c>
      <c r="F57" s="7">
        <f>[1]Tasandusfond!AX54</f>
        <v>97637.329917660682</v>
      </c>
      <c r="G57" s="11">
        <f t="shared" si="0"/>
        <v>315624.98701705341</v>
      </c>
      <c r="H57" s="19">
        <v>29375</v>
      </c>
      <c r="I57" s="13">
        <f t="shared" si="1"/>
        <v>344999.98701705341</v>
      </c>
      <c r="K57" s="445">
        <f t="shared" si="2"/>
        <v>8.514493074038286E-2</v>
      </c>
      <c r="L57" s="448">
        <f>K57-K86</f>
        <v>-0.29384279621128423</v>
      </c>
      <c r="N57" s="333">
        <f t="shared" si="3"/>
        <v>68999.997403410685</v>
      </c>
      <c r="P57" s="458">
        <f t="shared" si="6"/>
        <v>-0.11485506925961715</v>
      </c>
      <c r="Q57" s="574" t="s">
        <v>323</v>
      </c>
      <c r="R57" s="202">
        <f t="shared" si="7"/>
        <v>-39624.997403410685</v>
      </c>
      <c r="S57" s="27"/>
      <c r="T57" s="10" t="s">
        <v>60</v>
      </c>
      <c r="U57" s="36" t="s">
        <v>66</v>
      </c>
    </row>
    <row r="58" spans="1:21" x14ac:dyDescent="0.35">
      <c r="A58" s="10" t="s">
        <v>60</v>
      </c>
      <c r="B58" s="36" t="s">
        <v>67</v>
      </c>
      <c r="C58" s="63">
        <f>ROUND('[1]Tulumaks 2021-2024'!K55/2.5*1.88,-3)</f>
        <v>414000</v>
      </c>
      <c r="D58" s="7">
        <f>[1]Tasandusfond!AY55/[1]Tasandusfond!AY$83*[1]Tasandusfond!AY$84</f>
        <v>37472.587768048637</v>
      </c>
      <c r="E58" s="7">
        <f>[1]Tasandusfond!AS55</f>
        <v>20880</v>
      </c>
      <c r="F58" s="7">
        <f>[1]Tasandusfond!AX55</f>
        <v>0</v>
      </c>
      <c r="G58" s="11">
        <f t="shared" si="0"/>
        <v>472352.58776804863</v>
      </c>
      <c r="H58" s="19">
        <v>127646</v>
      </c>
      <c r="I58" s="13">
        <f t="shared" si="1"/>
        <v>599998.58776804863</v>
      </c>
      <c r="K58" s="445">
        <f t="shared" si="2"/>
        <v>0.21274383407273323</v>
      </c>
      <c r="L58" s="446">
        <f>K58-K86</f>
        <v>-0.16624389287893387</v>
      </c>
      <c r="N58" s="333">
        <f t="shared" si="3"/>
        <v>119999.71755360973</v>
      </c>
      <c r="P58" s="458">
        <f t="shared" si="6"/>
        <v>1.2743834072733209E-2</v>
      </c>
      <c r="Q58" s="571" t="s">
        <v>364</v>
      </c>
      <c r="R58" s="202">
        <f t="shared" si="7"/>
        <v>7646.2824463902652</v>
      </c>
      <c r="S58" s="27"/>
      <c r="T58" s="10" t="s">
        <v>60</v>
      </c>
      <c r="U58" s="36" t="s">
        <v>67</v>
      </c>
    </row>
    <row r="59" spans="1:21" x14ac:dyDescent="0.35">
      <c r="A59" s="10" t="s">
        <v>68</v>
      </c>
      <c r="B59" s="36" t="s">
        <v>69</v>
      </c>
      <c r="C59" s="63">
        <f>ROUND('[1]Tulumaks 2021-2024'!K56/2.5*1.88,-3)</f>
        <v>222000</v>
      </c>
      <c r="D59" s="7">
        <f>[1]Tasandusfond!AY56/[1]Tasandusfond!AY$83*[1]Tasandusfond!AY$84</f>
        <v>20086.484969681413</v>
      </c>
      <c r="E59" s="7">
        <f>[1]Tasandusfond!AS56</f>
        <v>0</v>
      </c>
      <c r="F59" s="7">
        <f>[1]Tasandusfond!AX56</f>
        <v>9783.1301388859283</v>
      </c>
      <c r="G59" s="11">
        <f t="shared" si="0"/>
        <v>251869.61510856735</v>
      </c>
      <c r="H59" s="19">
        <v>198130</v>
      </c>
      <c r="I59" s="13">
        <f t="shared" si="1"/>
        <v>449999.61510856735</v>
      </c>
      <c r="K59" s="445">
        <f t="shared" si="2"/>
        <v>0.44028926547459146</v>
      </c>
      <c r="L59" s="447">
        <f>K59-K86</f>
        <v>6.1301538522924359E-2</v>
      </c>
      <c r="N59" s="333">
        <f t="shared" si="3"/>
        <v>89999.923021713475</v>
      </c>
      <c r="P59" s="458">
        <f t="shared" si="6"/>
        <v>0.24028926547459148</v>
      </c>
      <c r="Q59" s="572" t="s">
        <v>365</v>
      </c>
      <c r="R59" s="202">
        <f t="shared" si="7"/>
        <v>108130.07697828652</v>
      </c>
      <c r="S59" s="27"/>
      <c r="T59" s="10" t="s">
        <v>68</v>
      </c>
      <c r="U59" s="36" t="s">
        <v>69</v>
      </c>
    </row>
    <row r="60" spans="1:21" x14ac:dyDescent="0.35">
      <c r="A60" s="10" t="s">
        <v>68</v>
      </c>
      <c r="B60" s="36" t="s">
        <v>70</v>
      </c>
      <c r="C60" s="63">
        <f>ROUND('[1]Tulumaks 2021-2024'!K57/2.5*1.88,-3)</f>
        <v>233000</v>
      </c>
      <c r="D60" s="7">
        <f>[1]Tasandusfond!AY57/[1]Tasandusfond!AY$83*[1]Tasandusfond!AY$84</f>
        <v>21095.713851136548</v>
      </c>
      <c r="E60" s="7">
        <f>[1]Tasandusfond!AS57</f>
        <v>0</v>
      </c>
      <c r="F60" s="7">
        <f>[1]Tasandusfond!AX57</f>
        <v>0</v>
      </c>
      <c r="G60" s="11">
        <f t="shared" si="0"/>
        <v>254095.71385113656</v>
      </c>
      <c r="H60" s="19">
        <v>231454</v>
      </c>
      <c r="I60" s="13">
        <f t="shared" si="1"/>
        <v>485549.71385113656</v>
      </c>
      <c r="K60" s="445">
        <f t="shared" si="2"/>
        <v>0.47668445351192379</v>
      </c>
      <c r="L60" s="447">
        <f>K60-K86</f>
        <v>9.7696726560256686E-2</v>
      </c>
      <c r="N60" s="333">
        <f t="shared" si="3"/>
        <v>97109.942770227324</v>
      </c>
      <c r="P60" s="458">
        <f t="shared" si="6"/>
        <v>0.27668445351192378</v>
      </c>
      <c r="Q60" s="572" t="s">
        <v>365</v>
      </c>
      <c r="R60" s="202">
        <f t="shared" si="7"/>
        <v>134344.05722977268</v>
      </c>
      <c r="S60" s="27"/>
      <c r="T60" s="10" t="s">
        <v>68</v>
      </c>
      <c r="U60" s="36" t="s">
        <v>70</v>
      </c>
    </row>
    <row r="61" spans="1:21" x14ac:dyDescent="0.35">
      <c r="A61" s="10" t="s">
        <v>68</v>
      </c>
      <c r="B61" s="36" t="s">
        <v>71</v>
      </c>
      <c r="C61" s="63">
        <f>ROUND('[1]Tulumaks 2021-2024'!K58/2.5*1.88,-3)</f>
        <v>313000</v>
      </c>
      <c r="D61" s="7">
        <f>[1]Tasandusfond!AY58/[1]Tasandusfond!AY$83*[1]Tasandusfond!AY$84</f>
        <v>28366.05969046909</v>
      </c>
      <c r="E61" s="7">
        <f>[1]Tasandusfond!AS58</f>
        <v>6960</v>
      </c>
      <c r="F61" s="7">
        <f>[1]Tasandusfond!AX58</f>
        <v>131900.49369320465</v>
      </c>
      <c r="G61" s="11">
        <f t="shared" si="0"/>
        <v>480226.55338367372</v>
      </c>
      <c r="H61" s="19">
        <v>299038</v>
      </c>
      <c r="I61" s="13">
        <f t="shared" si="1"/>
        <v>779264.55338367377</v>
      </c>
      <c r="K61" s="445">
        <f t="shared" si="2"/>
        <v>0.38374387581410691</v>
      </c>
      <c r="L61" s="447">
        <f>K61-K86</f>
        <v>4.7561488624398018E-3</v>
      </c>
      <c r="N61" s="333">
        <f t="shared" si="3"/>
        <v>155852.91067673475</v>
      </c>
      <c r="P61" s="458">
        <f t="shared" si="6"/>
        <v>0.18374387581410692</v>
      </c>
      <c r="Q61" s="575" t="s">
        <v>366</v>
      </c>
      <c r="R61" s="202">
        <f t="shared" si="7"/>
        <v>143185.08932326525</v>
      </c>
      <c r="S61" s="27"/>
      <c r="T61" s="10" t="s">
        <v>68</v>
      </c>
      <c r="U61" s="36" t="s">
        <v>71</v>
      </c>
    </row>
    <row r="62" spans="1:21" x14ac:dyDescent="0.35">
      <c r="A62" s="10" t="s">
        <v>68</v>
      </c>
      <c r="B62" s="36" t="s">
        <v>72</v>
      </c>
      <c r="C62" s="63">
        <f>ROUND('[1]Tulumaks 2021-2024'!K59/2.5*1.88,-3)</f>
        <v>535000</v>
      </c>
      <c r="D62" s="7">
        <f>[1]Tasandusfond!AY59/[1]Tasandusfond!AY$83*[1]Tasandusfond!AY$84</f>
        <v>48406.952787974944</v>
      </c>
      <c r="E62" s="7">
        <f>[1]Tasandusfond!AS59</f>
        <v>0</v>
      </c>
      <c r="F62" s="7">
        <f>[1]Tasandusfond!AX59</f>
        <v>35155.536655757111</v>
      </c>
      <c r="G62" s="11">
        <f t="shared" si="0"/>
        <v>618562.48944373208</v>
      </c>
      <c r="H62" s="19">
        <v>406435</v>
      </c>
      <c r="I62" s="13">
        <f t="shared" si="1"/>
        <v>1024997.4894437321</v>
      </c>
      <c r="K62" s="445">
        <f t="shared" si="2"/>
        <v>0.39652292243230075</v>
      </c>
      <c r="L62" s="447">
        <f>K62-K86</f>
        <v>1.7535195480633647E-2</v>
      </c>
      <c r="N62" s="333">
        <f t="shared" si="3"/>
        <v>204999.49788874644</v>
      </c>
      <c r="P62" s="458">
        <f t="shared" si="6"/>
        <v>0.19652292243230074</v>
      </c>
      <c r="Q62" s="575" t="s">
        <v>366</v>
      </c>
      <c r="R62" s="202">
        <f t="shared" si="7"/>
        <v>201435.50211125356</v>
      </c>
      <c r="S62" s="27"/>
      <c r="T62" s="10" t="s">
        <v>68</v>
      </c>
      <c r="U62" s="36" t="s">
        <v>72</v>
      </c>
    </row>
    <row r="63" spans="1:21" x14ac:dyDescent="0.35">
      <c r="A63" s="10" t="s">
        <v>73</v>
      </c>
      <c r="B63" s="36" t="s">
        <v>74</v>
      </c>
      <c r="C63" s="63">
        <f>ROUND('[1]Tulumaks 2021-2024'!K60/2.5*1.88,-3)</f>
        <v>92000</v>
      </c>
      <c r="D63" s="7">
        <f>[1]Tasandusfond!AY60/[1]Tasandusfond!AY$83*[1]Tasandusfond!AY$84</f>
        <v>8317.6510124513661</v>
      </c>
      <c r="E63" s="7">
        <f>[1]Tasandusfond!AS60</f>
        <v>0</v>
      </c>
      <c r="F63" s="7">
        <f>[1]Tasandusfond!AX60</f>
        <v>32045.573361158167</v>
      </c>
      <c r="G63" s="11">
        <f t="shared" si="0"/>
        <v>132363.22437360953</v>
      </c>
      <c r="H63" s="19">
        <v>71217</v>
      </c>
      <c r="I63" s="13">
        <f t="shared" si="1"/>
        <v>203580.22437360953</v>
      </c>
      <c r="K63" s="445">
        <f t="shared" si="2"/>
        <v>0.34982277978681697</v>
      </c>
      <c r="L63" s="450">
        <f>K63-K86</f>
        <v>-2.916494716485013E-2</v>
      </c>
      <c r="N63" s="333">
        <f t="shared" si="3"/>
        <v>40716.044874721905</v>
      </c>
      <c r="P63" s="458">
        <f t="shared" si="6"/>
        <v>0.14982277978681699</v>
      </c>
      <c r="Q63" s="575" t="s">
        <v>366</v>
      </c>
      <c r="R63" s="202">
        <f t="shared" si="7"/>
        <v>30500.955125278095</v>
      </c>
      <c r="S63" s="27"/>
      <c r="T63" s="10" t="s">
        <v>73</v>
      </c>
      <c r="U63" s="36" t="s">
        <v>74</v>
      </c>
    </row>
    <row r="64" spans="1:21" x14ac:dyDescent="0.35">
      <c r="A64" s="12" t="s">
        <v>73</v>
      </c>
      <c r="B64" s="36" t="s">
        <v>75</v>
      </c>
      <c r="C64" s="63">
        <f>ROUND('[1]Tulumaks 2021-2024'!K61/2.5*1.88,-3)</f>
        <v>4000</v>
      </c>
      <c r="D64" s="7">
        <f>[1]Tasandusfond!AY61/[1]Tasandusfond!AY$83*[1]Tasandusfond!AY$84</f>
        <v>347.71544395684384</v>
      </c>
      <c r="E64" s="7">
        <f>[1]Tasandusfond!AS61</f>
        <v>0</v>
      </c>
      <c r="F64" s="7">
        <f>[1]Tasandusfond!AX61</f>
        <v>0</v>
      </c>
      <c r="G64" s="11">
        <f t="shared" si="0"/>
        <v>4347.715443956844</v>
      </c>
      <c r="H64" s="19">
        <v>469</v>
      </c>
      <c r="I64" s="13">
        <f t="shared" si="1"/>
        <v>4816.715443956844</v>
      </c>
      <c r="J64" s="30"/>
      <c r="K64" s="445">
        <f t="shared" si="2"/>
        <v>9.7369256178173783E-2</v>
      </c>
      <c r="L64" s="448">
        <f>K64-K86</f>
        <v>-0.28161847077349333</v>
      </c>
      <c r="N64" s="333">
        <f t="shared" si="3"/>
        <v>963.34308879136881</v>
      </c>
      <c r="P64" s="458">
        <f t="shared" si="6"/>
        <v>-0.10263074382182623</v>
      </c>
      <c r="Q64" s="574" t="s">
        <v>323</v>
      </c>
      <c r="R64" s="202">
        <f t="shared" si="7"/>
        <v>-494.34308879136881</v>
      </c>
      <c r="S64" s="27"/>
      <c r="T64" s="12" t="s">
        <v>73</v>
      </c>
      <c r="U64" s="36" t="s">
        <v>75</v>
      </c>
    </row>
    <row r="65" spans="1:21" x14ac:dyDescent="0.35">
      <c r="A65" s="12" t="s">
        <v>73</v>
      </c>
      <c r="B65" s="36" t="s">
        <v>76</v>
      </c>
      <c r="C65" s="63">
        <f>ROUND('[1]Tulumaks 2021-2024'!K62/2.5*1.88,-3)</f>
        <v>1266000</v>
      </c>
      <c r="D65" s="7">
        <f>[1]Tasandusfond!AY62/[1]Tasandusfond!AY$83*[1]Tasandusfond!AY$84</f>
        <v>114236.24448664188</v>
      </c>
      <c r="E65" s="7">
        <f>[1]Tasandusfond!AS62</f>
        <v>215760</v>
      </c>
      <c r="F65" s="7">
        <f>[1]Tasandusfond!AX62</f>
        <v>0</v>
      </c>
      <c r="G65" s="11">
        <f t="shared" si="0"/>
        <v>1595996.2444866418</v>
      </c>
      <c r="H65" s="19">
        <v>380000</v>
      </c>
      <c r="I65" s="13">
        <f t="shared" si="1"/>
        <v>1975996.2444866418</v>
      </c>
      <c r="K65" s="445">
        <f t="shared" si="2"/>
        <v>0.19230805780135626</v>
      </c>
      <c r="L65" s="446">
        <f>K65-K86</f>
        <v>-0.18667966915031084</v>
      </c>
      <c r="N65" s="333">
        <f t="shared" si="3"/>
        <v>395199.24889732839</v>
      </c>
      <c r="P65" s="458">
        <f t="shared" si="6"/>
        <v>-7.6919421986437588E-3</v>
      </c>
      <c r="Q65" s="573" t="s">
        <v>322</v>
      </c>
      <c r="R65" s="202">
        <f t="shared" si="7"/>
        <v>-15199.248897328391</v>
      </c>
      <c r="S65" s="27"/>
      <c r="T65" s="12" t="s">
        <v>73</v>
      </c>
      <c r="U65" s="36" t="s">
        <v>76</v>
      </c>
    </row>
    <row r="66" spans="1:21" x14ac:dyDescent="0.35">
      <c r="A66" s="10" t="s">
        <v>77</v>
      </c>
      <c r="B66" s="36" t="s">
        <v>78</v>
      </c>
      <c r="C66" s="63">
        <f>ROUND('[1]Tulumaks 2021-2024'!K63/2.5*1.88,-3)</f>
        <v>571000</v>
      </c>
      <c r="D66" s="7">
        <f>[1]Tasandusfond!AY63/[1]Tasandusfond!AY$83*[1]Tasandusfond!AY$84</f>
        <v>51495.782800215078</v>
      </c>
      <c r="E66" s="7">
        <f>[1]Tasandusfond!AS63</f>
        <v>0</v>
      </c>
      <c r="F66" s="7">
        <f>[1]Tasandusfond!AX63</f>
        <v>10414.758337795618</v>
      </c>
      <c r="G66" s="11">
        <f t="shared" si="0"/>
        <v>632910.54113801068</v>
      </c>
      <c r="H66" s="19">
        <v>289631</v>
      </c>
      <c r="I66" s="13">
        <f t="shared" si="1"/>
        <v>922541.54113801068</v>
      </c>
      <c r="K66" s="445">
        <f t="shared" si="2"/>
        <v>0.31394900617995225</v>
      </c>
      <c r="L66" s="450">
        <f>K66-K86</f>
        <v>-6.5038720771714853E-2</v>
      </c>
      <c r="N66" s="333">
        <f t="shared" si="3"/>
        <v>184508.30822760216</v>
      </c>
      <c r="P66" s="458">
        <f t="shared" si="6"/>
        <v>0.11394900617995224</v>
      </c>
      <c r="Q66" s="575" t="s">
        <v>366</v>
      </c>
      <c r="R66" s="202">
        <f t="shared" si="7"/>
        <v>105122.69177239784</v>
      </c>
      <c r="S66" s="27"/>
      <c r="T66" s="10" t="s">
        <v>77</v>
      </c>
      <c r="U66" s="36" t="s">
        <v>78</v>
      </c>
    </row>
    <row r="67" spans="1:21" x14ac:dyDescent="0.35">
      <c r="A67" s="10" t="s">
        <v>77</v>
      </c>
      <c r="B67" s="36" t="s">
        <v>79</v>
      </c>
      <c r="C67" s="63">
        <f>ROUND('[1]Tulumaks 2021-2024'!K64/2.5*1.88,-3)</f>
        <v>290000</v>
      </c>
      <c r="D67" s="7">
        <f>[1]Tasandusfond!AY64/[1]Tasandusfond!AY$83*[1]Tasandusfond!AY$84</f>
        <v>26410.357379072579</v>
      </c>
      <c r="E67" s="7">
        <f>[1]Tasandusfond!AS64</f>
        <v>13920</v>
      </c>
      <c r="F67" s="7">
        <f>[1]Tasandusfond!AX64</f>
        <v>0</v>
      </c>
      <c r="G67" s="11">
        <f t="shared" si="0"/>
        <v>330330.35737907258</v>
      </c>
      <c r="H67" s="19">
        <v>404890</v>
      </c>
      <c r="I67" s="13">
        <f t="shared" si="1"/>
        <v>735220.35737907258</v>
      </c>
      <c r="K67" s="445">
        <f t="shared" si="2"/>
        <v>0.55070564346634732</v>
      </c>
      <c r="L67" s="453">
        <f>K67-K86</f>
        <v>0.17171791651468021</v>
      </c>
      <c r="N67" s="333">
        <f t="shared" si="3"/>
        <v>147044.07147581453</v>
      </c>
      <c r="P67" s="458">
        <f t="shared" si="6"/>
        <v>0.35070564346634731</v>
      </c>
      <c r="Q67" s="576" t="s">
        <v>363</v>
      </c>
      <c r="R67" s="202">
        <f t="shared" si="7"/>
        <v>257845.92852418547</v>
      </c>
      <c r="S67" s="27"/>
      <c r="T67" s="10" t="s">
        <v>77</v>
      </c>
      <c r="U67" s="36" t="s">
        <v>79</v>
      </c>
    </row>
    <row r="68" spans="1:21" x14ac:dyDescent="0.35">
      <c r="A68" s="10" t="s">
        <v>77</v>
      </c>
      <c r="B68" s="36" t="s">
        <v>80</v>
      </c>
      <c r="C68" s="63">
        <f>ROUND('[1]Tulumaks 2021-2024'!K65/2.5*1.88,-3)</f>
        <v>170000</v>
      </c>
      <c r="D68" s="7">
        <f>[1]Tasandusfond!AY65/[1]Tasandusfond!AY$83*[1]Tasandusfond!AY$84</f>
        <v>15373.82051917199</v>
      </c>
      <c r="E68" s="7">
        <f>[1]Tasandusfond!AS65</f>
        <v>0</v>
      </c>
      <c r="F68" s="7">
        <f>[1]Tasandusfond!AX65</f>
        <v>7227.7584460251092</v>
      </c>
      <c r="G68" s="11">
        <f t="shared" si="0"/>
        <v>192601.57896519711</v>
      </c>
      <c r="H68" s="19">
        <v>182398</v>
      </c>
      <c r="I68" s="13">
        <f t="shared" si="1"/>
        <v>374999.57896519708</v>
      </c>
      <c r="K68" s="445">
        <f t="shared" si="2"/>
        <v>0.48639521277150011</v>
      </c>
      <c r="L68" s="453">
        <f>K68-K86</f>
        <v>0.107407485819833</v>
      </c>
      <c r="N68" s="333">
        <f t="shared" si="3"/>
        <v>74999.915793039414</v>
      </c>
      <c r="P68" s="458">
        <f t="shared" si="6"/>
        <v>0.28639521277150015</v>
      </c>
      <c r="Q68" s="572" t="s">
        <v>365</v>
      </c>
      <c r="R68" s="202">
        <f t="shared" si="7"/>
        <v>107398.08420696059</v>
      </c>
      <c r="S68" s="27"/>
      <c r="T68" s="10" t="s">
        <v>77</v>
      </c>
      <c r="U68" s="36" t="s">
        <v>80</v>
      </c>
    </row>
    <row r="69" spans="1:21" x14ac:dyDescent="0.35">
      <c r="A69" s="10" t="s">
        <v>77</v>
      </c>
      <c r="B69" s="36" t="s">
        <v>81</v>
      </c>
      <c r="C69" s="63">
        <f>ROUND('[1]Tulumaks 2021-2024'!K66/2.5*1.88,-3)</f>
        <v>120000</v>
      </c>
      <c r="D69" s="7">
        <f>[1]Tasandusfond!AY66/[1]Tasandusfond!AY$83*[1]Tasandusfond!AY$84</f>
        <v>10789.020953872961</v>
      </c>
      <c r="E69" s="7">
        <f>[1]Tasandusfond!AS66</f>
        <v>0</v>
      </c>
      <c r="F69" s="7">
        <f>[1]Tasandusfond!AX66</f>
        <v>0</v>
      </c>
      <c r="G69" s="11">
        <f>SUM(C69:F69)</f>
        <v>130789.02095387297</v>
      </c>
      <c r="H69" s="19">
        <v>84211</v>
      </c>
      <c r="I69" s="13">
        <f t="shared" si="1"/>
        <v>215000.02095387297</v>
      </c>
      <c r="K69" s="445">
        <f t="shared" si="2"/>
        <v>0.39167903159445266</v>
      </c>
      <c r="L69" s="447">
        <f>K69-K86</f>
        <v>1.2691304642785561E-2</v>
      </c>
      <c r="N69" s="333">
        <f t="shared" si="3"/>
        <v>43000.004190774598</v>
      </c>
      <c r="P69" s="458">
        <f t="shared" si="6"/>
        <v>0.19167903159445265</v>
      </c>
      <c r="Q69" s="575" t="s">
        <v>366</v>
      </c>
      <c r="R69" s="202">
        <f t="shared" si="7"/>
        <v>41210.995809225402</v>
      </c>
      <c r="S69" s="27"/>
      <c r="T69" s="10" t="s">
        <v>77</v>
      </c>
      <c r="U69" s="36" t="s">
        <v>81</v>
      </c>
    </row>
    <row r="70" spans="1:21" x14ac:dyDescent="0.35">
      <c r="A70" s="10" t="s">
        <v>77</v>
      </c>
      <c r="B70" s="36" t="s">
        <v>82</v>
      </c>
      <c r="C70" s="63">
        <f>ROUND('[1]Tulumaks 2021-2024'!K67/2.5*1.88,-3)</f>
        <v>141000</v>
      </c>
      <c r="D70" s="7">
        <f>[1]Tasandusfond!AY67/[1]Tasandusfond!AY$83*[1]Tasandusfond!AY$84</f>
        <v>12780.593249435962</v>
      </c>
      <c r="E70" s="7">
        <f>[1]Tasandusfond!AS67</f>
        <v>0</v>
      </c>
      <c r="F70" s="7">
        <f>[1]Tasandusfond!AX67</f>
        <v>0</v>
      </c>
      <c r="G70" s="11">
        <f t="shared" si="0"/>
        <v>153780.59324943597</v>
      </c>
      <c r="H70" s="19">
        <v>36962</v>
      </c>
      <c r="I70" s="13">
        <f t="shared" si="1"/>
        <v>190742.59324943597</v>
      </c>
      <c r="K70" s="445">
        <f t="shared" si="2"/>
        <v>0.19377947720184566</v>
      </c>
      <c r="L70" s="446">
        <f>K70-K86</f>
        <v>-0.18520824974982145</v>
      </c>
      <c r="N70" s="333">
        <f t="shared" si="3"/>
        <v>38148.518649887199</v>
      </c>
      <c r="P70" s="458">
        <f t="shared" si="6"/>
        <v>-6.2205227981543525E-3</v>
      </c>
      <c r="Q70" s="573" t="s">
        <v>322</v>
      </c>
      <c r="R70" s="202">
        <f t="shared" si="7"/>
        <v>-1186.518649887199</v>
      </c>
      <c r="S70" s="27"/>
      <c r="T70" s="10" t="s">
        <v>77</v>
      </c>
      <c r="U70" s="36" t="s">
        <v>82</v>
      </c>
    </row>
    <row r="71" spans="1:21" x14ac:dyDescent="0.35">
      <c r="A71" s="10" t="s">
        <v>77</v>
      </c>
      <c r="B71" s="36" t="s">
        <v>83</v>
      </c>
      <c r="C71" s="63">
        <f>ROUND('[1]Tulumaks 2021-2024'!K68/2.5*1.88,-3)</f>
        <v>222000</v>
      </c>
      <c r="D71" s="7">
        <f>[1]Tasandusfond!AY68/[1]Tasandusfond!AY$83*[1]Tasandusfond!AY$84</f>
        <v>19958.335967084826</v>
      </c>
      <c r="E71" s="7">
        <f>[1]Tasandusfond!AS68</f>
        <v>0</v>
      </c>
      <c r="F71" s="7">
        <f>[1]Tasandusfond!AX68</f>
        <v>73585.876175191777</v>
      </c>
      <c r="G71" s="11">
        <f t="shared" ref="G71:G83" si="8">SUM(C71:F71)</f>
        <v>315544.21214227658</v>
      </c>
      <c r="H71" s="19">
        <v>159456</v>
      </c>
      <c r="I71" s="13">
        <f t="shared" ref="I71:I86" si="9">G71+H71</f>
        <v>475000.21214227658</v>
      </c>
      <c r="K71" s="445">
        <f t="shared" ref="K71:K86" si="10">(H71/I71)</f>
        <v>0.33569669217797787</v>
      </c>
      <c r="L71" s="450">
        <f>K71-K86</f>
        <v>-4.329103477368923E-2</v>
      </c>
      <c r="N71" s="333">
        <f t="shared" ref="N71:N86" si="11">I71*0.2</f>
        <v>95000.042428455316</v>
      </c>
      <c r="P71" s="458">
        <f t="shared" ref="P71:P86" si="12">(R71/I71)</f>
        <v>0.13569669217797786</v>
      </c>
      <c r="Q71" s="575" t="s">
        <v>366</v>
      </c>
      <c r="R71" s="202">
        <f t="shared" ref="R71:R84" si="13">H71-N71</f>
        <v>64455.957571544684</v>
      </c>
      <c r="S71" s="27"/>
      <c r="T71" s="10" t="s">
        <v>77</v>
      </c>
      <c r="U71" s="36" t="s">
        <v>83</v>
      </c>
    </row>
    <row r="72" spans="1:21" x14ac:dyDescent="0.35">
      <c r="A72" s="10" t="s">
        <v>77</v>
      </c>
      <c r="B72" s="36" t="s">
        <v>84</v>
      </c>
      <c r="C72" s="63">
        <f>ROUND('[1]Tulumaks 2021-2024'!K69/2.5*1.88,-3)</f>
        <v>314000</v>
      </c>
      <c r="D72" s="7">
        <f>[1]Tasandusfond!AY69/[1]Tasandusfond!AY$83*[1]Tasandusfond!AY$84</f>
        <v>28494.154848656526</v>
      </c>
      <c r="E72" s="7">
        <f>[1]Tasandusfond!AS69</f>
        <v>0</v>
      </c>
      <c r="F72" s="7">
        <f>[1]Tasandusfond!AX69</f>
        <v>37333.380691911676</v>
      </c>
      <c r="G72" s="11">
        <f t="shared" si="8"/>
        <v>379827.53554056818</v>
      </c>
      <c r="H72" s="19">
        <v>407000</v>
      </c>
      <c r="I72" s="13">
        <f t="shared" si="9"/>
        <v>786827.53554056818</v>
      </c>
      <c r="J72" s="30"/>
      <c r="K72" s="445">
        <f t="shared" si="10"/>
        <v>0.51726710316560265</v>
      </c>
      <c r="L72" s="453">
        <f>K72-K86</f>
        <v>0.13827937621393555</v>
      </c>
      <c r="N72" s="333">
        <f t="shared" si="11"/>
        <v>157365.50710811364</v>
      </c>
      <c r="P72" s="458">
        <f t="shared" si="12"/>
        <v>0.31726710316560269</v>
      </c>
      <c r="Q72" s="576" t="s">
        <v>363</v>
      </c>
      <c r="R72" s="202">
        <f t="shared" si="13"/>
        <v>249634.49289188636</v>
      </c>
      <c r="S72" s="27"/>
      <c r="T72" s="10" t="s">
        <v>77</v>
      </c>
      <c r="U72" s="36" t="s">
        <v>84</v>
      </c>
    </row>
    <row r="73" spans="1:21" x14ac:dyDescent="0.35">
      <c r="A73" s="10" t="s">
        <v>77</v>
      </c>
      <c r="B73" s="36" t="s">
        <v>85</v>
      </c>
      <c r="C73" s="63">
        <f>ROUND('[1]Tulumaks 2021-2024'!K70/2.5*1.88,-3)</f>
        <v>3342000</v>
      </c>
      <c r="D73" s="7">
        <f>[1]Tasandusfond!AY70/[1]Tasandusfond!AY$83*[1]Tasandusfond!AY$84</f>
        <v>301716.05617663747</v>
      </c>
      <c r="E73" s="7">
        <f>[1]Tasandusfond!AS70</f>
        <v>0</v>
      </c>
      <c r="F73" s="7">
        <f>[1]Tasandusfond!AX70</f>
        <v>149360.19383851113</v>
      </c>
      <c r="G73" s="11">
        <f t="shared" si="8"/>
        <v>3793076.2500151484</v>
      </c>
      <c r="H73" s="19">
        <v>7979478</v>
      </c>
      <c r="I73" s="13">
        <f t="shared" si="9"/>
        <v>11772554.250015149</v>
      </c>
      <c r="K73" s="445">
        <f t="shared" si="10"/>
        <v>0.67780345968588185</v>
      </c>
      <c r="L73" s="451">
        <f>K73-K86</f>
        <v>0.29881573273421475</v>
      </c>
      <c r="N73" s="333">
        <f t="shared" si="11"/>
        <v>2354510.8500030297</v>
      </c>
      <c r="P73" s="458">
        <f t="shared" si="12"/>
        <v>0.47780345968588184</v>
      </c>
      <c r="Q73" s="576" t="s">
        <v>363</v>
      </c>
      <c r="R73" s="202">
        <f t="shared" si="13"/>
        <v>5624967.1499969698</v>
      </c>
      <c r="S73" s="27"/>
      <c r="T73" s="10" t="s">
        <v>77</v>
      </c>
      <c r="U73" s="36" t="s">
        <v>85</v>
      </c>
    </row>
    <row r="74" spans="1:21" x14ac:dyDescent="0.35">
      <c r="A74" s="10" t="s">
        <v>86</v>
      </c>
      <c r="B74" s="36" t="s">
        <v>87</v>
      </c>
      <c r="C74" s="63">
        <f>ROUND('[1]Tulumaks 2021-2024'!K71/2.5*1.88,-3)</f>
        <v>257000</v>
      </c>
      <c r="D74" s="7">
        <f>[1]Tasandusfond!AY71/[1]Tasandusfond!AY$83*[1]Tasandusfond!AY$84</f>
        <v>23224.322898242681</v>
      </c>
      <c r="E74" s="7">
        <f>[1]Tasandusfond!AS71</f>
        <v>0</v>
      </c>
      <c r="F74" s="7">
        <f>[1]Tasandusfond!AX71</f>
        <v>94993.7710952161</v>
      </c>
      <c r="G74" s="11">
        <f t="shared" si="8"/>
        <v>375218.09399345878</v>
      </c>
      <c r="H74" s="19">
        <v>250000</v>
      </c>
      <c r="I74" s="13">
        <f t="shared" si="9"/>
        <v>625218.09399345878</v>
      </c>
      <c r="K74" s="445">
        <f t="shared" si="10"/>
        <v>0.39986046853374591</v>
      </c>
      <c r="L74" s="447">
        <f>K74-K86</f>
        <v>2.0872741582078802E-2</v>
      </c>
      <c r="N74" s="333">
        <f t="shared" si="11"/>
        <v>125043.61879869176</v>
      </c>
      <c r="P74" s="458">
        <f t="shared" si="12"/>
        <v>0.19986046853374587</v>
      </c>
      <c r="Q74" s="575" t="s">
        <v>366</v>
      </c>
      <c r="R74" s="202">
        <f t="shared" si="13"/>
        <v>124956.38120130824</v>
      </c>
      <c r="S74" s="27"/>
      <c r="T74" s="10" t="s">
        <v>86</v>
      </c>
      <c r="U74" s="36" t="s">
        <v>87</v>
      </c>
    </row>
    <row r="75" spans="1:21" x14ac:dyDescent="0.35">
      <c r="A75" s="10" t="s">
        <v>86</v>
      </c>
      <c r="B75" s="36" t="s">
        <v>88</v>
      </c>
      <c r="C75" s="63">
        <f>ROUND('[1]Tulumaks 2021-2024'!K72/2.5*1.88,-3)</f>
        <v>261000</v>
      </c>
      <c r="D75" s="7">
        <f>[1]Tasandusfond!AY72/[1]Tasandusfond!AY$83*[1]Tasandusfond!AY$84</f>
        <v>23628.930801107104</v>
      </c>
      <c r="E75" s="7">
        <f>[1]Tasandusfond!AS72</f>
        <v>0</v>
      </c>
      <c r="F75" s="7">
        <f>[1]Tasandusfond!AX72</f>
        <v>108766.46109920647</v>
      </c>
      <c r="G75" s="11">
        <f t="shared" si="8"/>
        <v>393395.39190031355</v>
      </c>
      <c r="H75" s="19">
        <v>236605</v>
      </c>
      <c r="I75" s="13">
        <f t="shared" si="9"/>
        <v>630000.39190031355</v>
      </c>
      <c r="K75" s="445">
        <f t="shared" si="10"/>
        <v>0.37556325843911309</v>
      </c>
      <c r="L75" s="450">
        <f>K75-K86</f>
        <v>-3.4244685125540131E-3</v>
      </c>
      <c r="N75" s="333">
        <f t="shared" si="11"/>
        <v>126000.07838006271</v>
      </c>
      <c r="P75" s="458">
        <f t="shared" si="12"/>
        <v>0.17556325843911311</v>
      </c>
      <c r="Q75" s="575" t="s">
        <v>366</v>
      </c>
      <c r="R75" s="202">
        <f t="shared" si="13"/>
        <v>110604.92161993729</v>
      </c>
      <c r="S75" s="27"/>
      <c r="T75" s="10" t="s">
        <v>86</v>
      </c>
      <c r="U75" s="36" t="s">
        <v>88</v>
      </c>
    </row>
    <row r="76" spans="1:21" x14ac:dyDescent="0.35">
      <c r="A76" s="10" t="s">
        <v>86</v>
      </c>
      <c r="B76" s="36" t="s">
        <v>89</v>
      </c>
      <c r="C76" s="63">
        <f>ROUND('[1]Tulumaks 2021-2024'!K73/2.5*1.88,-3)</f>
        <v>641000</v>
      </c>
      <c r="D76" s="7">
        <f>[1]Tasandusfond!AY73/[1]Tasandusfond!AY$83*[1]Tasandusfond!AY$84</f>
        <v>57827.445645436492</v>
      </c>
      <c r="E76" s="7">
        <f>[1]Tasandusfond!AS73</f>
        <v>0</v>
      </c>
      <c r="F76" s="7">
        <f>[1]Tasandusfond!AX73</f>
        <v>93203.874921791954</v>
      </c>
      <c r="G76" s="11">
        <f t="shared" si="8"/>
        <v>792031.32056722848</v>
      </c>
      <c r="H76" s="19">
        <v>504376</v>
      </c>
      <c r="I76" s="13">
        <f t="shared" si="9"/>
        <v>1296407.3205672284</v>
      </c>
      <c r="K76" s="445">
        <f t="shared" si="10"/>
        <v>0.38905673548597053</v>
      </c>
      <c r="L76" s="447">
        <f>K76-K86</f>
        <v>1.0069008534303425E-2</v>
      </c>
      <c r="N76" s="333">
        <f t="shared" si="11"/>
        <v>259281.46411344569</v>
      </c>
      <c r="P76" s="458">
        <f t="shared" si="12"/>
        <v>0.18905673548597055</v>
      </c>
      <c r="Q76" s="575" t="s">
        <v>366</v>
      </c>
      <c r="R76" s="202">
        <f t="shared" si="13"/>
        <v>245094.53588655431</v>
      </c>
      <c r="S76" s="27"/>
      <c r="T76" s="10" t="s">
        <v>86</v>
      </c>
      <c r="U76" s="36" t="s">
        <v>89</v>
      </c>
    </row>
    <row r="77" spans="1:21" x14ac:dyDescent="0.35">
      <c r="A77" s="10" t="s">
        <v>90</v>
      </c>
      <c r="B77" s="36" t="s">
        <v>91</v>
      </c>
      <c r="C77" s="63">
        <f>ROUND('[1]Tulumaks 2021-2024'!K74/2.5*1.88,-3)</f>
        <v>344000</v>
      </c>
      <c r="D77" s="7">
        <f>[1]Tasandusfond!AY74/[1]Tasandusfond!AY$83*[1]Tasandusfond!AY$84</f>
        <v>31026.647560219953</v>
      </c>
      <c r="E77" s="7">
        <f>[1]Tasandusfond!AS74</f>
        <v>0</v>
      </c>
      <c r="F77" s="7">
        <f>[1]Tasandusfond!AX74</f>
        <v>227795.08202863921</v>
      </c>
      <c r="G77" s="11">
        <f t="shared" si="8"/>
        <v>602821.72958885925</v>
      </c>
      <c r="H77" s="19">
        <v>424750</v>
      </c>
      <c r="I77" s="13">
        <f t="shared" si="9"/>
        <v>1027571.7295888592</v>
      </c>
      <c r="K77" s="445">
        <f t="shared" si="10"/>
        <v>0.41335313902606713</v>
      </c>
      <c r="L77" s="447">
        <f>K77-K86</f>
        <v>3.4365412074400026E-2</v>
      </c>
      <c r="N77" s="333">
        <f t="shared" si="11"/>
        <v>205514.34591777186</v>
      </c>
      <c r="P77" s="458">
        <f t="shared" si="12"/>
        <v>0.21335313902606712</v>
      </c>
      <c r="Q77" s="572" t="s">
        <v>365</v>
      </c>
      <c r="R77" s="202">
        <f t="shared" si="13"/>
        <v>219235.65408222814</v>
      </c>
      <c r="S77" s="27"/>
      <c r="T77" s="10" t="s">
        <v>90</v>
      </c>
      <c r="U77" s="36" t="s">
        <v>91</v>
      </c>
    </row>
    <row r="78" spans="1:21" ht="14" customHeight="1" x14ac:dyDescent="0.35">
      <c r="A78" s="10" t="s">
        <v>90</v>
      </c>
      <c r="B78" s="36" t="s">
        <v>92</v>
      </c>
      <c r="C78" s="63">
        <f>ROUND('[1]Tulumaks 2021-2024'!K75/2.5*1.88,-3)</f>
        <v>344000</v>
      </c>
      <c r="D78" s="7">
        <f>[1]Tasandusfond!AY75/[1]Tasandusfond!AY$83*[1]Tasandusfond!AY$84</f>
        <v>31019.585060711961</v>
      </c>
      <c r="E78" s="7">
        <f>[1]Tasandusfond!AS75</f>
        <v>0</v>
      </c>
      <c r="F78" s="7">
        <f>[1]Tasandusfond!AX75</f>
        <v>200245.65332740638</v>
      </c>
      <c r="G78" s="11">
        <f t="shared" si="8"/>
        <v>575265.23838811833</v>
      </c>
      <c r="H78" s="19">
        <v>639754</v>
      </c>
      <c r="I78" s="13">
        <f t="shared" si="9"/>
        <v>1215019.2383881183</v>
      </c>
      <c r="K78" s="445">
        <f t="shared" si="10"/>
        <v>0.52653816481845772</v>
      </c>
      <c r="L78" s="453">
        <f>K78-K86</f>
        <v>0.14755043786679062</v>
      </c>
      <c r="N78" s="333">
        <f t="shared" si="11"/>
        <v>243003.84767762368</v>
      </c>
      <c r="P78" s="458">
        <f t="shared" si="12"/>
        <v>0.32653816481845771</v>
      </c>
      <c r="Q78" s="576" t="s">
        <v>363</v>
      </c>
      <c r="R78" s="202">
        <f t="shared" si="13"/>
        <v>396750.15232237632</v>
      </c>
      <c r="S78" s="27"/>
      <c r="T78" s="10" t="s">
        <v>90</v>
      </c>
      <c r="U78" s="36" t="s">
        <v>92</v>
      </c>
    </row>
    <row r="79" spans="1:21" x14ac:dyDescent="0.35">
      <c r="A79" s="10" t="s">
        <v>90</v>
      </c>
      <c r="B79" s="36" t="s">
        <v>93</v>
      </c>
      <c r="C79" s="63">
        <f>ROUND('[1]Tulumaks 2021-2024'!K76/2.5*1.88,-3)</f>
        <v>557000</v>
      </c>
      <c r="D79" s="7">
        <f>[1]Tasandusfond!AY76/[1]Tasandusfond!AY$83*[1]Tasandusfond!AY$84</f>
        <v>50364.844645290716</v>
      </c>
      <c r="E79" s="7">
        <f>[1]Tasandusfond!AS76</f>
        <v>0</v>
      </c>
      <c r="F79" s="7">
        <f>[1]Tasandusfond!AX76</f>
        <v>142941.13800757099</v>
      </c>
      <c r="G79" s="11">
        <f t="shared" si="8"/>
        <v>750305.98265286174</v>
      </c>
      <c r="H79" s="19">
        <v>433830</v>
      </c>
      <c r="I79" s="13">
        <f t="shared" si="9"/>
        <v>1184135.9826528616</v>
      </c>
      <c r="K79" s="445">
        <f t="shared" si="10"/>
        <v>0.36636839548450789</v>
      </c>
      <c r="L79" s="450">
        <f>K79-K86</f>
        <v>-1.2619331467159212E-2</v>
      </c>
      <c r="N79" s="333">
        <f t="shared" si="11"/>
        <v>236827.19653057234</v>
      </c>
      <c r="P79" s="458">
        <f t="shared" si="12"/>
        <v>0.16636839548450788</v>
      </c>
      <c r="Q79" s="575" t="s">
        <v>366</v>
      </c>
      <c r="R79" s="202">
        <f t="shared" si="13"/>
        <v>197002.80346942766</v>
      </c>
      <c r="S79" s="27"/>
      <c r="T79" s="10" t="s">
        <v>90</v>
      </c>
      <c r="U79" s="36" t="s">
        <v>93</v>
      </c>
    </row>
    <row r="80" spans="1:21" x14ac:dyDescent="0.35">
      <c r="A80" s="10" t="s">
        <v>90</v>
      </c>
      <c r="B80" s="36" t="s">
        <v>94</v>
      </c>
      <c r="C80" s="63">
        <f>ROUND('[1]Tulumaks 2021-2024'!K77/2.5*1.88,-3)</f>
        <v>750000</v>
      </c>
      <c r="D80" s="7">
        <f>[1]Tasandusfond!AY77/[1]Tasandusfond!AY$83*[1]Tasandusfond!AY$84</f>
        <v>67729.282844961679</v>
      </c>
      <c r="E80" s="7">
        <f>[1]Tasandusfond!AS77</f>
        <v>0</v>
      </c>
      <c r="F80" s="7">
        <f>[1]Tasandusfond!AX77</f>
        <v>66371.877238315297</v>
      </c>
      <c r="G80" s="11">
        <f t="shared" si="8"/>
        <v>884101.16008327692</v>
      </c>
      <c r="H80" s="19">
        <v>424996</v>
      </c>
      <c r="I80" s="13">
        <f t="shared" si="9"/>
        <v>1309097.1600832769</v>
      </c>
      <c r="K80" s="445">
        <f t="shared" si="10"/>
        <v>0.32464817200654861</v>
      </c>
      <c r="L80" s="450">
        <f>K80-K86</f>
        <v>-5.4339554945118496E-2</v>
      </c>
      <c r="N80" s="333">
        <f t="shared" si="11"/>
        <v>261819.4320166554</v>
      </c>
      <c r="P80" s="458">
        <f t="shared" si="12"/>
        <v>0.12464817200654861</v>
      </c>
      <c r="Q80" s="575" t="s">
        <v>366</v>
      </c>
      <c r="R80" s="202">
        <f t="shared" si="13"/>
        <v>163176.5679833446</v>
      </c>
      <c r="S80" s="27"/>
      <c r="T80" s="10" t="s">
        <v>90</v>
      </c>
      <c r="U80" s="36" t="s">
        <v>94</v>
      </c>
    </row>
    <row r="81" spans="1:21" x14ac:dyDescent="0.35">
      <c r="A81" s="10" t="s">
        <v>95</v>
      </c>
      <c r="B81" s="36" t="s">
        <v>96</v>
      </c>
      <c r="C81" s="63">
        <f>ROUND('[1]Tulumaks 2021-2024'!K78/2.5*1.88,-3)</f>
        <v>179000</v>
      </c>
      <c r="D81" s="7">
        <f>[1]Tasandusfond!AY78/[1]Tasandusfond!AY$83*[1]Tasandusfond!AY$84</f>
        <v>16197.733809563615</v>
      </c>
      <c r="E81" s="7">
        <f>[1]Tasandusfond!AS78</f>
        <v>0</v>
      </c>
      <c r="F81" s="7">
        <f>[1]Tasandusfond!AX78</f>
        <v>69855.943535949365</v>
      </c>
      <c r="G81" s="11">
        <f t="shared" si="8"/>
        <v>265053.67734551302</v>
      </c>
      <c r="H81" s="19">
        <v>223816</v>
      </c>
      <c r="I81" s="13">
        <f t="shared" si="9"/>
        <v>488869.67734551302</v>
      </c>
      <c r="K81" s="445">
        <f t="shared" si="10"/>
        <v>0.45782344533063773</v>
      </c>
      <c r="L81" s="447">
        <f>K81-K86</f>
        <v>7.8835718378970632E-2</v>
      </c>
      <c r="N81" s="333">
        <f t="shared" si="11"/>
        <v>97773.935469102609</v>
      </c>
      <c r="P81" s="458">
        <f t="shared" si="12"/>
        <v>0.25782344533063772</v>
      </c>
      <c r="Q81" s="572" t="s">
        <v>365</v>
      </c>
      <c r="R81" s="202">
        <f t="shared" si="13"/>
        <v>126042.06453089739</v>
      </c>
      <c r="S81" s="27"/>
      <c r="T81" s="10" t="s">
        <v>95</v>
      </c>
      <c r="U81" s="36" t="s">
        <v>96</v>
      </c>
    </row>
    <row r="82" spans="1:21" x14ac:dyDescent="0.35">
      <c r="A82" s="10" t="s">
        <v>95</v>
      </c>
      <c r="B82" s="36" t="s">
        <v>97</v>
      </c>
      <c r="C82" s="63">
        <f>ROUND('[1]Tulumaks 2021-2024'!K79/2.5*1.88,-3)</f>
        <v>235000</v>
      </c>
      <c r="D82" s="7">
        <f>[1]Tasandusfond!AY79/[1]Tasandusfond!AY$83*[1]Tasandusfond!AY$84</f>
        <v>21249.770481726919</v>
      </c>
      <c r="E82" s="7">
        <f>[1]Tasandusfond!AS79</f>
        <v>0</v>
      </c>
      <c r="F82" s="7">
        <f>[1]Tasandusfond!AX79</f>
        <v>18761.462768182682</v>
      </c>
      <c r="G82" s="11">
        <f t="shared" si="8"/>
        <v>275011.23324990959</v>
      </c>
      <c r="H82" s="19">
        <v>204989</v>
      </c>
      <c r="I82" s="13">
        <f t="shared" si="9"/>
        <v>480000.23324990959</v>
      </c>
      <c r="J82"/>
      <c r="K82" s="445">
        <f t="shared" si="10"/>
        <v>0.42706020914217674</v>
      </c>
      <c r="L82" s="447">
        <f>K82-K86</f>
        <v>4.8072482190509636E-2</v>
      </c>
      <c r="N82" s="333">
        <f t="shared" si="11"/>
        <v>96000.04664998193</v>
      </c>
      <c r="P82" s="458">
        <f t="shared" si="12"/>
        <v>0.2270602091421767</v>
      </c>
      <c r="Q82" s="572" t="s">
        <v>365</v>
      </c>
      <c r="R82" s="202">
        <f t="shared" si="13"/>
        <v>108988.95335001807</v>
      </c>
      <c r="S82" s="27"/>
      <c r="T82" s="10" t="s">
        <v>95</v>
      </c>
      <c r="U82" s="36" t="s">
        <v>97</v>
      </c>
    </row>
    <row r="83" spans="1:21" x14ac:dyDescent="0.35">
      <c r="A83" s="10" t="s">
        <v>95</v>
      </c>
      <c r="B83" s="36" t="s">
        <v>98</v>
      </c>
      <c r="C83" s="63">
        <f>ROUND('[1]Tulumaks 2021-2024'!K80/2.5*1.88,-3)</f>
        <v>122000</v>
      </c>
      <c r="D83" s="7">
        <f>[1]Tasandusfond!AY80/[1]Tasandusfond!AY$83*[1]Tasandusfond!AY$84</f>
        <v>10965.052116831825</v>
      </c>
      <c r="E83" s="7">
        <f>[1]Tasandusfond!AS80</f>
        <v>0</v>
      </c>
      <c r="F83" s="7">
        <f>[1]Tasandusfond!AX80</f>
        <v>82157.36751162319</v>
      </c>
      <c r="G83" s="11">
        <f t="shared" si="8"/>
        <v>215122.41962845501</v>
      </c>
      <c r="H83" s="19">
        <v>373564</v>
      </c>
      <c r="I83" s="13">
        <f t="shared" si="9"/>
        <v>588686.41962845507</v>
      </c>
      <c r="J83" s="32"/>
      <c r="K83" s="445">
        <f t="shared" si="10"/>
        <v>0.63457213814405988</v>
      </c>
      <c r="L83" s="451">
        <f>K83-K86</f>
        <v>0.25558441119239278</v>
      </c>
      <c r="N83" s="333">
        <f t="shared" si="11"/>
        <v>117737.28392569102</v>
      </c>
      <c r="P83" s="458">
        <f t="shared" si="12"/>
        <v>0.43457213814405987</v>
      </c>
      <c r="Q83" s="576" t="s">
        <v>363</v>
      </c>
      <c r="R83" s="202">
        <f t="shared" si="13"/>
        <v>255826.71607430896</v>
      </c>
      <c r="S83" s="27"/>
      <c r="T83" s="10" t="s">
        <v>95</v>
      </c>
      <c r="U83" s="36" t="s">
        <v>98</v>
      </c>
    </row>
    <row r="84" spans="1:21" x14ac:dyDescent="0.35">
      <c r="A84" s="10" t="s">
        <v>95</v>
      </c>
      <c r="B84" s="36" t="s">
        <v>99</v>
      </c>
      <c r="C84" s="63">
        <f>ROUND('[1]Tulumaks 2021-2024'!K81/2.5*1.88,-3)</f>
        <v>405000</v>
      </c>
      <c r="D84" s="7">
        <f>[1]Tasandusfond!AY81/[1]Tasandusfond!AY$83*[1]Tasandusfond!AY$84</f>
        <v>36748.198852314526</v>
      </c>
      <c r="E84" s="7">
        <f>[1]Tasandusfond!AS81</f>
        <v>0</v>
      </c>
      <c r="F84" s="7">
        <f>[1]Tasandusfond!AX81</f>
        <v>133939.91815238725</v>
      </c>
      <c r="G84" s="11">
        <f>SUM(C84:F84)</f>
        <v>575688.11700470175</v>
      </c>
      <c r="H84" s="19">
        <v>439312</v>
      </c>
      <c r="I84" s="13">
        <f>G84+H84</f>
        <v>1015000.1170047018</v>
      </c>
      <c r="K84" s="445">
        <f>(H84/I84)</f>
        <v>0.4328196545399659</v>
      </c>
      <c r="L84" s="447">
        <f>K84-K86</f>
        <v>5.38319275882988E-2</v>
      </c>
      <c r="N84" s="333">
        <f>I84*0.2</f>
        <v>203000.02340094035</v>
      </c>
      <c r="P84" s="458">
        <f t="shared" si="12"/>
        <v>0.23281965453996592</v>
      </c>
      <c r="Q84" s="572" t="s">
        <v>365</v>
      </c>
      <c r="R84" s="202">
        <f t="shared" si="13"/>
        <v>236311.97659905965</v>
      </c>
      <c r="S84" s="27"/>
      <c r="T84" s="10" t="s">
        <v>95</v>
      </c>
      <c r="U84" s="36" t="s">
        <v>99</v>
      </c>
    </row>
    <row r="85" spans="1:21" ht="15" thickBot="1" x14ac:dyDescent="0.4">
      <c r="A85" s="10" t="s">
        <v>95</v>
      </c>
      <c r="B85" s="36" t="s">
        <v>100</v>
      </c>
      <c r="C85" s="63">
        <f>ROUND('[1]Tulumaks 2021-2024'!K82/2.5*1.88,-3)</f>
        <v>515000</v>
      </c>
      <c r="D85" s="7">
        <f>[1]Tasandusfond!AY82/[1]Tasandusfond!AY$83*[1]Tasandusfond!AY$84</f>
        <v>46309.342879603792</v>
      </c>
      <c r="E85" s="7">
        <f>[1]Tasandusfond!AS82</f>
        <v>0</v>
      </c>
      <c r="F85" s="7">
        <f>[1]Tasandusfond!AX82</f>
        <v>75319.75647151086</v>
      </c>
      <c r="G85" s="11">
        <f t="shared" ref="G85" si="14">SUM(C85:F85)</f>
        <v>636629.09935111471</v>
      </c>
      <c r="H85" s="19">
        <v>420371</v>
      </c>
      <c r="I85" s="13">
        <f>G85+H85</f>
        <v>1057000.0993511146</v>
      </c>
      <c r="K85" s="445">
        <f t="shared" ref="K85" si="15">(H85/I85)</f>
        <v>0.39770194937357434</v>
      </c>
      <c r="L85" s="447">
        <f>K85-K86</f>
        <v>1.8714222421907234E-2</v>
      </c>
      <c r="N85" s="333">
        <f t="shared" ref="N85" si="16">I85*0.2</f>
        <v>211400.01987022292</v>
      </c>
      <c r="P85" s="521">
        <f t="shared" si="12"/>
        <v>0.1977019493735743</v>
      </c>
      <c r="Q85" s="577" t="s">
        <v>366</v>
      </c>
      <c r="R85" s="221">
        <f t="shared" ref="R85" si="17">H85-N85</f>
        <v>208970.98012977708</v>
      </c>
      <c r="S85" s="27"/>
      <c r="T85" s="10" t="s">
        <v>95</v>
      </c>
      <c r="U85" s="36" t="s">
        <v>99</v>
      </c>
    </row>
    <row r="86" spans="1:21" ht="15" thickBot="1" x14ac:dyDescent="0.4">
      <c r="A86" s="20"/>
      <c r="B86" s="66" t="s">
        <v>3</v>
      </c>
      <c r="C86" s="65">
        <f t="shared" ref="C86:H86" si="18">SUM(C7:C85)</f>
        <v>50579000</v>
      </c>
      <c r="D86" s="21">
        <f t="shared" si="18"/>
        <v>4570000</v>
      </c>
      <c r="E86" s="21">
        <f t="shared" si="18"/>
        <v>647280</v>
      </c>
      <c r="F86" s="21">
        <f t="shared" si="18"/>
        <v>3622546.7166882609</v>
      </c>
      <c r="G86" s="22">
        <f>SUM(G7:G85)</f>
        <v>59418826.716688238</v>
      </c>
      <c r="H86" s="23">
        <f t="shared" si="18"/>
        <v>36261773</v>
      </c>
      <c r="I86" s="34">
        <f t="shared" si="9"/>
        <v>95680599.716688246</v>
      </c>
      <c r="K86" s="454">
        <f t="shared" si="10"/>
        <v>0.3789877269516671</v>
      </c>
      <c r="L86" s="455">
        <f>K86-K86</f>
        <v>0</v>
      </c>
      <c r="N86" s="279">
        <f t="shared" si="11"/>
        <v>19136119.943337649</v>
      </c>
      <c r="P86" s="456">
        <f t="shared" si="12"/>
        <v>0.17898772695166709</v>
      </c>
      <c r="Q86" s="578" t="s">
        <v>366</v>
      </c>
      <c r="R86" s="217">
        <f>H86-N86</f>
        <v>17125653.056662351</v>
      </c>
      <c r="S86" s="27"/>
      <c r="T86" s="38"/>
      <c r="U86" s="37" t="s">
        <v>3</v>
      </c>
    </row>
    <row r="87" spans="1:21" s="3" customFormat="1" ht="14" x14ac:dyDescent="0.3">
      <c r="A87" s="8"/>
      <c r="B87" s="8"/>
      <c r="C87" s="8"/>
      <c r="D87" s="8"/>
      <c r="E87" s="8"/>
      <c r="F87" s="8"/>
      <c r="G87" s="9"/>
      <c r="H87" s="31"/>
      <c r="I87" s="4"/>
    </row>
    <row r="88" spans="1:21" s="3" customFormat="1" x14ac:dyDescent="0.35">
      <c r="A88" s="9" t="s">
        <v>314</v>
      </c>
      <c r="B88" s="8"/>
      <c r="C88" s="121"/>
      <c r="D88" s="121"/>
      <c r="E88" s="122"/>
      <c r="F88" s="121"/>
      <c r="G88" s="716"/>
      <c r="H88" s="31"/>
      <c r="P88" s="512"/>
      <c r="Q88" s="512"/>
    </row>
    <row r="89" spans="1:21" s="3" customFormat="1" ht="14" x14ac:dyDescent="0.3">
      <c r="A89" s="8"/>
      <c r="B89" s="8"/>
      <c r="C89" s="8"/>
      <c r="D89" s="8"/>
      <c r="E89" s="8"/>
      <c r="F89" s="9"/>
      <c r="G89" s="4"/>
      <c r="H89" s="4"/>
    </row>
    <row r="90" spans="1:21" s="3" customFormat="1" ht="14" x14ac:dyDescent="0.3">
      <c r="A90" s="8" t="s">
        <v>110</v>
      </c>
      <c r="B90" s="8"/>
      <c r="C90" s="8"/>
      <c r="D90" s="8"/>
      <c r="E90" s="8"/>
      <c r="F90" s="9"/>
      <c r="G90" s="4"/>
      <c r="H90" s="4"/>
    </row>
    <row r="91" spans="1:21" s="3" customFormat="1" ht="14" x14ac:dyDescent="0.3">
      <c r="A91" s="8" t="s">
        <v>349</v>
      </c>
      <c r="B91" s="8"/>
      <c r="C91" s="8"/>
      <c r="D91" s="8"/>
      <c r="E91" s="8"/>
      <c r="F91" s="9"/>
      <c r="G91" s="4"/>
      <c r="H91" s="4"/>
    </row>
    <row r="92" spans="1:21" s="3" customFormat="1" ht="14" x14ac:dyDescent="0.3">
      <c r="A92" s="8" t="s">
        <v>350</v>
      </c>
      <c r="B92" s="8"/>
      <c r="C92" s="8"/>
      <c r="D92" s="8"/>
      <c r="E92" s="8"/>
      <c r="F92" s="9"/>
      <c r="G92" s="4"/>
      <c r="H92" s="4"/>
    </row>
    <row r="93" spans="1:21" s="3" customFormat="1" ht="14" x14ac:dyDescent="0.3">
      <c r="A93" s="3" t="s">
        <v>300</v>
      </c>
      <c r="F93" s="4"/>
      <c r="G93" s="4"/>
      <c r="H93" s="4"/>
    </row>
    <row r="94" spans="1:21" s="3" customFormat="1" ht="14" x14ac:dyDescent="0.3">
      <c r="A94" s="3" t="s">
        <v>143</v>
      </c>
      <c r="F94" s="4"/>
      <c r="G94" s="4"/>
      <c r="H94" s="4"/>
    </row>
    <row r="95" spans="1:21" s="3" customFormat="1" ht="14" x14ac:dyDescent="0.3">
      <c r="F95" s="4"/>
      <c r="G95" s="4"/>
      <c r="H95" s="4"/>
    </row>
    <row r="96" spans="1:21" s="3" customFormat="1" ht="14" x14ac:dyDescent="0.3">
      <c r="A96" s="40" t="s">
        <v>126</v>
      </c>
      <c r="F96" s="4"/>
      <c r="G96" s="4"/>
      <c r="H96" s="4"/>
    </row>
    <row r="97" spans="1:19" s="3" customFormat="1" ht="14" x14ac:dyDescent="0.3">
      <c r="A97" s="53" t="s">
        <v>351</v>
      </c>
      <c r="F97" s="4"/>
      <c r="G97" s="4"/>
      <c r="H97" s="4"/>
      <c r="K97" s="53" t="s">
        <v>352</v>
      </c>
      <c r="P97" s="4"/>
      <c r="Q97" s="4"/>
    </row>
    <row r="98" spans="1:19" s="3" customFormat="1" ht="14" x14ac:dyDescent="0.3">
      <c r="B98" s="58"/>
      <c r="C98" s="3" t="s">
        <v>316</v>
      </c>
      <c r="E98" s="55"/>
      <c r="F98" s="57" t="s">
        <v>359</v>
      </c>
      <c r="G98" s="57"/>
      <c r="H98" s="4"/>
      <c r="L98" s="58"/>
      <c r="M98" s="3" t="s">
        <v>316</v>
      </c>
      <c r="Q98" s="55"/>
      <c r="R98" s="57" t="s">
        <v>359</v>
      </c>
      <c r="S98" s="57"/>
    </row>
    <row r="99" spans="1:19" s="3" customFormat="1" ht="14" x14ac:dyDescent="0.3">
      <c r="B99" s="59"/>
      <c r="C99" s="3" t="s">
        <v>317</v>
      </c>
      <c r="E99" s="56"/>
      <c r="F99" s="57" t="s">
        <v>360</v>
      </c>
      <c r="G99" s="57"/>
      <c r="H99" s="4"/>
      <c r="L99" s="59"/>
      <c r="M99" s="3" t="s">
        <v>317</v>
      </c>
      <c r="Q99" s="56"/>
      <c r="R99" s="57" t="s">
        <v>360</v>
      </c>
      <c r="S99" s="57"/>
    </row>
    <row r="100" spans="1:19" s="3" customFormat="1" ht="14" x14ac:dyDescent="0.3">
      <c r="B100" s="60"/>
      <c r="C100" s="3" t="s">
        <v>318</v>
      </c>
      <c r="E100" s="54"/>
      <c r="F100" s="57" t="s">
        <v>361</v>
      </c>
      <c r="G100" s="57"/>
      <c r="H100" s="4"/>
      <c r="L100" s="60"/>
      <c r="M100" s="3" t="s">
        <v>318</v>
      </c>
      <c r="Q100" s="54"/>
      <c r="R100" s="57" t="s">
        <v>361</v>
      </c>
      <c r="S100" s="57"/>
    </row>
    <row r="101" spans="1:19" s="3" customFormat="1" ht="14" x14ac:dyDescent="0.3">
      <c r="B101" s="61"/>
      <c r="C101" s="3" t="s">
        <v>319</v>
      </c>
      <c r="E101" s="43"/>
      <c r="F101" s="57" t="s">
        <v>362</v>
      </c>
      <c r="G101" s="42"/>
      <c r="H101" s="4"/>
      <c r="L101" s="61"/>
      <c r="M101" s="3" t="s">
        <v>319</v>
      </c>
      <c r="Q101" s="43"/>
      <c r="R101" s="57" t="s">
        <v>362</v>
      </c>
      <c r="S101" s="42"/>
    </row>
    <row r="102" spans="1:19" s="3" customFormat="1" ht="14" x14ac:dyDescent="0.3">
      <c r="F102" s="4"/>
      <c r="G102" s="4"/>
      <c r="H102" s="4"/>
    </row>
    <row r="103" spans="1:19" s="3" customFormat="1" ht="14" x14ac:dyDescent="0.3">
      <c r="F103" s="4"/>
      <c r="G103" s="4"/>
      <c r="H103" s="4"/>
    </row>
    <row r="104" spans="1:19" s="3" customFormat="1" ht="14" x14ac:dyDescent="0.3">
      <c r="F104" s="4"/>
      <c r="G104" s="4"/>
      <c r="H104" s="4"/>
    </row>
    <row r="105" spans="1:19" s="3" customFormat="1" ht="14" x14ac:dyDescent="0.3">
      <c r="F105" s="4"/>
      <c r="G105" s="4"/>
      <c r="H105" s="4"/>
    </row>
    <row r="106" spans="1:19" s="3" customFormat="1" ht="14" x14ac:dyDescent="0.3">
      <c r="F106" s="4"/>
      <c r="G106" s="4"/>
      <c r="H106" s="4"/>
    </row>
    <row r="107" spans="1:19" s="3" customFormat="1" ht="14" x14ac:dyDescent="0.3">
      <c r="F107" s="4"/>
      <c r="G107" s="4"/>
      <c r="H107" s="4"/>
    </row>
    <row r="108" spans="1:19" s="3" customFormat="1" ht="14" x14ac:dyDescent="0.3">
      <c r="F108" s="4"/>
      <c r="G108" s="4"/>
      <c r="H108" s="4"/>
    </row>
    <row r="109" spans="1:19" s="3" customFormat="1" ht="14" x14ac:dyDescent="0.3">
      <c r="F109" s="4"/>
      <c r="G109" s="4"/>
      <c r="H109" s="4"/>
    </row>
    <row r="110" spans="1:19" s="3" customFormat="1" ht="14" x14ac:dyDescent="0.3">
      <c r="F110" s="4"/>
      <c r="G110" s="4"/>
      <c r="H110" s="4"/>
    </row>
    <row r="111" spans="1:19" s="3" customFormat="1" ht="14" x14ac:dyDescent="0.3">
      <c r="F111" s="4"/>
      <c r="G111" s="4"/>
      <c r="H111" s="4"/>
    </row>
    <row r="112" spans="1:19" s="3" customFormat="1" ht="14" x14ac:dyDescent="0.3">
      <c r="F112" s="4"/>
      <c r="G112" s="4"/>
      <c r="H112" s="4"/>
    </row>
    <row r="113" spans="6:8" s="3" customFormat="1" ht="14" x14ac:dyDescent="0.3">
      <c r="F113" s="4"/>
      <c r="G113" s="4"/>
      <c r="H113" s="4"/>
    </row>
    <row r="114" spans="6:8" s="3" customFormat="1" ht="14" x14ac:dyDescent="0.3">
      <c r="F114" s="4"/>
      <c r="G114" s="4"/>
      <c r="H114" s="4"/>
    </row>
    <row r="115" spans="6:8" s="3" customFormat="1" ht="14" x14ac:dyDescent="0.3">
      <c r="F115" s="4"/>
      <c r="G115" s="4"/>
      <c r="H115" s="4"/>
    </row>
    <row r="116" spans="6:8" s="3" customFormat="1" ht="14" x14ac:dyDescent="0.3">
      <c r="F116" s="4"/>
      <c r="G116" s="4"/>
      <c r="H116" s="4"/>
    </row>
    <row r="117" spans="6:8" s="3" customFormat="1" ht="14" x14ac:dyDescent="0.3">
      <c r="F117" s="4"/>
      <c r="G117" s="4"/>
      <c r="H117" s="4"/>
    </row>
    <row r="118" spans="6:8" s="3" customFormat="1" ht="14" x14ac:dyDescent="0.3">
      <c r="F118" s="4"/>
      <c r="G118" s="4"/>
      <c r="H118" s="4"/>
    </row>
    <row r="119" spans="6:8" s="3" customFormat="1" ht="14" x14ac:dyDescent="0.3">
      <c r="F119" s="4"/>
      <c r="G119" s="4"/>
      <c r="H119" s="4"/>
    </row>
    <row r="120" spans="6:8" s="3" customFormat="1" ht="14" x14ac:dyDescent="0.3">
      <c r="F120" s="4"/>
      <c r="G120" s="4"/>
      <c r="H120" s="4"/>
    </row>
    <row r="121" spans="6:8" s="3" customFormat="1" ht="14" x14ac:dyDescent="0.3">
      <c r="F121" s="4"/>
      <c r="G121" s="4"/>
      <c r="H121" s="4"/>
    </row>
    <row r="122" spans="6:8" s="3" customFormat="1" ht="14" x14ac:dyDescent="0.3">
      <c r="F122" s="4"/>
      <c r="G122" s="4"/>
      <c r="H122" s="4"/>
    </row>
    <row r="123" spans="6:8" s="3" customFormat="1" ht="14" x14ac:dyDescent="0.3">
      <c r="F123" s="4"/>
      <c r="G123" s="4"/>
      <c r="H123" s="4"/>
    </row>
    <row r="124" spans="6:8" s="3" customFormat="1" ht="14" x14ac:dyDescent="0.3">
      <c r="F124" s="4"/>
      <c r="G124" s="4"/>
      <c r="H124" s="4"/>
    </row>
    <row r="125" spans="6:8" s="3" customFormat="1" ht="14" x14ac:dyDescent="0.3">
      <c r="F125" s="4"/>
      <c r="G125" s="4"/>
      <c r="H125" s="4"/>
    </row>
    <row r="126" spans="6:8" s="3" customFormat="1" ht="14" x14ac:dyDescent="0.3">
      <c r="F126" s="4"/>
      <c r="G126" s="4"/>
      <c r="H126" s="4"/>
    </row>
    <row r="127" spans="6:8" s="3" customFormat="1" ht="14" x14ac:dyDescent="0.3">
      <c r="F127" s="4"/>
      <c r="G127" s="4"/>
      <c r="H127" s="4"/>
    </row>
    <row r="128" spans="6:8" s="3" customFormat="1" ht="14" x14ac:dyDescent="0.3">
      <c r="F128" s="4"/>
      <c r="G128" s="4"/>
      <c r="H128" s="4"/>
    </row>
    <row r="129" spans="6:9" s="3" customFormat="1" ht="14" x14ac:dyDescent="0.3">
      <c r="F129" s="4"/>
      <c r="G129" s="4"/>
      <c r="H129" s="4"/>
    </row>
    <row r="130" spans="6:9" s="3" customFormat="1" ht="14" x14ac:dyDescent="0.3">
      <c r="F130" s="4"/>
      <c r="G130" s="4"/>
      <c r="H130" s="4"/>
    </row>
    <row r="131" spans="6:9" s="3" customFormat="1" ht="14" x14ac:dyDescent="0.3">
      <c r="G131" s="4"/>
      <c r="H131" s="4"/>
      <c r="I131" s="4"/>
    </row>
    <row r="132" spans="6:9" s="3" customFormat="1" ht="14" x14ac:dyDescent="0.3">
      <c r="G132" s="4"/>
      <c r="H132" s="4"/>
      <c r="I132" s="4"/>
    </row>
    <row r="133" spans="6:9" s="3" customFormat="1" ht="14" x14ac:dyDescent="0.3">
      <c r="G133" s="4"/>
      <c r="H133" s="4"/>
      <c r="I133" s="4"/>
    </row>
    <row r="134" spans="6:9" s="3" customFormat="1" ht="14" x14ac:dyDescent="0.3">
      <c r="G134" s="4"/>
      <c r="H134" s="4"/>
      <c r="I134" s="4"/>
    </row>
    <row r="135" spans="6:9" s="3" customFormat="1" ht="14" x14ac:dyDescent="0.3">
      <c r="G135" s="4"/>
      <c r="H135" s="4"/>
      <c r="I135" s="4"/>
    </row>
  </sheetData>
  <mergeCells count="12">
    <mergeCell ref="A4:A6"/>
    <mergeCell ref="B4:B6"/>
    <mergeCell ref="C4:G4"/>
    <mergeCell ref="T4:T6"/>
    <mergeCell ref="U4:U6"/>
    <mergeCell ref="C5:C6"/>
    <mergeCell ref="D5:F5"/>
    <mergeCell ref="G5:G6"/>
    <mergeCell ref="H5:H6"/>
    <mergeCell ref="I5:I6"/>
    <mergeCell ref="K5:K6"/>
    <mergeCell ref="L5:L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188E-4A08-441C-A494-A51669B54325}">
  <dimension ref="A1:BG106"/>
  <sheetViews>
    <sheetView topLeftCell="A59" zoomScale="128" zoomScaleNormal="128" workbookViewId="0">
      <selection activeCell="BH73" sqref="BH73"/>
    </sheetView>
  </sheetViews>
  <sheetFormatPr defaultRowHeight="14.5" x14ac:dyDescent="0.35"/>
  <cols>
    <col min="1" max="1" width="10.1796875" customWidth="1"/>
    <col min="2" max="2" width="18.54296875" customWidth="1"/>
    <col min="3" max="3" width="3.7265625" customWidth="1"/>
    <col min="4" max="4" width="10.7265625" customWidth="1"/>
    <col min="5" max="5" width="12.1796875" customWidth="1"/>
    <col min="6" max="6" width="3.6328125" customWidth="1"/>
    <col min="7" max="7" width="11.08984375" customWidth="1"/>
    <col min="8" max="8" width="11.1796875" customWidth="1"/>
    <col min="9" max="9" width="3.36328125" customWidth="1"/>
    <col min="10" max="10" width="17.1796875" customWidth="1"/>
    <col min="11" max="11" width="13" customWidth="1"/>
    <col min="12" max="12" width="3.08984375" customWidth="1"/>
    <col min="13" max="13" width="3.6328125" customWidth="1"/>
    <col min="14" max="14" width="10.7265625" customWidth="1"/>
    <col min="15" max="15" width="17.81640625" customWidth="1"/>
    <col min="16" max="16" width="2.453125" customWidth="1"/>
    <col min="17" max="17" width="13.453125" customWidth="1"/>
    <col min="18" max="18" width="14.90625" customWidth="1"/>
    <col min="19" max="19" width="2.453125" customWidth="1"/>
    <col min="20" max="20" width="13.453125" customWidth="1"/>
    <col min="21" max="21" width="14.26953125" customWidth="1"/>
    <col min="22" max="22" width="2.1796875" customWidth="1"/>
    <col min="23" max="23" width="15.90625" customWidth="1"/>
    <col min="24" max="24" width="16.81640625" customWidth="1"/>
    <col min="25" max="25" width="3.90625" customWidth="1"/>
    <col min="26" max="26" width="10.7265625" customWidth="1"/>
    <col min="27" max="27" width="18.36328125" customWidth="1"/>
    <col min="28" max="28" width="2.81640625" customWidth="1"/>
    <col min="29" max="29" width="15.6328125" customWidth="1"/>
    <col min="30" max="30" width="17" customWidth="1"/>
    <col min="31" max="31" width="2.7265625" customWidth="1"/>
    <col min="32" max="32" width="14.90625" customWidth="1"/>
    <col min="33" max="33" width="14.7265625" customWidth="1"/>
    <col min="34" max="34" width="15.453125" customWidth="1"/>
    <col min="35" max="35" width="4.81640625" customWidth="1"/>
    <col min="36" max="36" width="4.26953125" customWidth="1"/>
    <col min="37" max="37" width="10.1796875" customWidth="1"/>
    <col min="38" max="38" width="18.54296875" customWidth="1"/>
    <col min="39" max="39" width="1.36328125" customWidth="1"/>
    <col min="40" max="40" width="10.6328125" style="560" customWidth="1"/>
    <col min="41" max="41" width="9.453125" customWidth="1"/>
    <col min="42" max="42" width="11.54296875" customWidth="1"/>
    <col min="43" max="43" width="1.453125" customWidth="1"/>
    <col min="44" max="44" width="10.7265625" customWidth="1"/>
    <col min="45" max="45" width="9.1796875" customWidth="1"/>
    <col min="46" max="46" width="11.26953125" customWidth="1"/>
    <col min="47" max="47" width="1.36328125" customWidth="1"/>
    <col min="48" max="48" width="11.90625" customWidth="1"/>
    <col min="49" max="49" width="9.36328125" customWidth="1"/>
    <col min="50" max="50" width="12.26953125" customWidth="1"/>
    <col min="51" max="51" width="2.453125" customWidth="1"/>
    <col min="52" max="52" width="10.453125" customWidth="1"/>
    <col min="53" max="53" width="18.54296875" customWidth="1"/>
    <col min="54" max="54" width="1.81640625" customWidth="1"/>
    <col min="55" max="55" width="12.08984375" customWidth="1"/>
    <col min="56" max="56" width="10.81640625" customWidth="1"/>
    <col min="57" max="57" width="12.54296875" customWidth="1"/>
    <col min="58" max="58" width="11.90625" customWidth="1"/>
    <col min="59" max="59" width="1.1796875" customWidth="1"/>
  </cols>
  <sheetData>
    <row r="1" spans="1:59" s="6" customFormat="1" ht="17.5" x14ac:dyDescent="0.35">
      <c r="A1" s="6" t="s">
        <v>179</v>
      </c>
      <c r="AN1" s="554"/>
    </row>
    <row r="2" spans="1:59" s="6" customFormat="1" ht="17.5" x14ac:dyDescent="0.35">
      <c r="A2" s="6" t="s">
        <v>497</v>
      </c>
      <c r="AN2" s="554"/>
    </row>
    <row r="3" spans="1:59" s="4" customFormat="1" ht="13.5" customHeight="1" thickBot="1" x14ac:dyDescent="0.35">
      <c r="AN3" s="555"/>
    </row>
    <row r="4" spans="1:59" s="4" customFormat="1" ht="13.5" customHeight="1" x14ac:dyDescent="0.3">
      <c r="A4" s="799" t="s">
        <v>0</v>
      </c>
      <c r="B4" s="796" t="s">
        <v>1</v>
      </c>
      <c r="C4" s="123"/>
      <c r="D4" s="204" t="s">
        <v>175</v>
      </c>
      <c r="E4" s="205"/>
      <c r="G4" s="195" t="s">
        <v>243</v>
      </c>
      <c r="H4" s="196"/>
      <c r="J4" s="257" t="s">
        <v>216</v>
      </c>
      <c r="K4" s="258"/>
      <c r="N4" s="799" t="s">
        <v>0</v>
      </c>
      <c r="O4" s="802" t="s">
        <v>1</v>
      </c>
      <c r="Q4" s="75" t="s">
        <v>244</v>
      </c>
      <c r="R4" s="77"/>
      <c r="T4" s="69" t="s">
        <v>238</v>
      </c>
      <c r="U4" s="71"/>
      <c r="W4" s="69" t="s">
        <v>273</v>
      </c>
      <c r="X4" s="71"/>
      <c r="Z4" s="799" t="s">
        <v>0</v>
      </c>
      <c r="AA4" s="796" t="s">
        <v>1</v>
      </c>
      <c r="AC4" s="174" t="s">
        <v>247</v>
      </c>
      <c r="AD4" s="168"/>
      <c r="AF4" s="174" t="s">
        <v>248</v>
      </c>
      <c r="AG4" s="167"/>
      <c r="AH4" s="168"/>
      <c r="AK4" s="799" t="s">
        <v>0</v>
      </c>
      <c r="AL4" s="796" t="s">
        <v>1</v>
      </c>
      <c r="AN4" s="556" t="s">
        <v>278</v>
      </c>
      <c r="AO4" s="350"/>
      <c r="AP4" s="211"/>
      <c r="AR4" s="210" t="s">
        <v>278</v>
      </c>
      <c r="AS4" s="350"/>
      <c r="AT4" s="211"/>
      <c r="AV4" s="210" t="s">
        <v>278</v>
      </c>
      <c r="AW4" s="350"/>
      <c r="AX4" s="211"/>
      <c r="AZ4" s="799" t="s">
        <v>0</v>
      </c>
      <c r="BA4" s="796" t="s">
        <v>1</v>
      </c>
      <c r="BC4" s="352" t="s">
        <v>283</v>
      </c>
      <c r="BD4" s="353"/>
      <c r="BE4" s="561"/>
      <c r="BF4" s="353"/>
    </row>
    <row r="5" spans="1:59" s="4" customFormat="1" ht="13.5" customHeight="1" x14ac:dyDescent="0.3">
      <c r="A5" s="800"/>
      <c r="B5" s="797"/>
      <c r="C5" s="125"/>
      <c r="D5" s="206" t="s">
        <v>190</v>
      </c>
      <c r="E5" s="207"/>
      <c r="G5" s="197" t="s">
        <v>172</v>
      </c>
      <c r="H5" s="198"/>
      <c r="J5" s="215" t="s">
        <v>242</v>
      </c>
      <c r="K5" s="216" t="s">
        <v>275</v>
      </c>
      <c r="N5" s="800"/>
      <c r="O5" s="803"/>
      <c r="Q5" s="284" t="s">
        <v>272</v>
      </c>
      <c r="R5" s="285"/>
      <c r="T5" s="280" t="s">
        <v>239</v>
      </c>
      <c r="U5" s="281" t="s">
        <v>237</v>
      </c>
      <c r="V5" s="272"/>
      <c r="W5" s="319" t="s">
        <v>277</v>
      </c>
      <c r="X5" s="281"/>
      <c r="Y5" s="272"/>
      <c r="Z5" s="800"/>
      <c r="AA5" s="797"/>
      <c r="AC5" s="275" t="s">
        <v>245</v>
      </c>
      <c r="AD5" s="163" t="s">
        <v>240</v>
      </c>
      <c r="AF5" s="275" t="s">
        <v>249</v>
      </c>
      <c r="AG5" s="274" t="s">
        <v>245</v>
      </c>
      <c r="AH5" s="293" t="s">
        <v>240</v>
      </c>
      <c r="AK5" s="800"/>
      <c r="AL5" s="797"/>
      <c r="AN5" s="557" t="s">
        <v>279</v>
      </c>
      <c r="AO5" s="43"/>
      <c r="AP5" s="351" t="s">
        <v>285</v>
      </c>
      <c r="AR5" s="212" t="s">
        <v>281</v>
      </c>
      <c r="AS5" s="43"/>
      <c r="AT5" s="351" t="s">
        <v>285</v>
      </c>
      <c r="AV5" s="212" t="s">
        <v>280</v>
      </c>
      <c r="AW5" s="43"/>
      <c r="AX5" s="351" t="s">
        <v>285</v>
      </c>
      <c r="AZ5" s="800"/>
      <c r="BA5" s="797"/>
      <c r="BC5" s="215" t="s">
        <v>284</v>
      </c>
      <c r="BD5" s="562"/>
      <c r="BE5" s="562"/>
      <c r="BF5" s="564" t="s">
        <v>285</v>
      </c>
    </row>
    <row r="6" spans="1:59" s="4" customFormat="1" ht="13.5" customHeight="1" thickBot="1" x14ac:dyDescent="0.35">
      <c r="A6" s="801"/>
      <c r="B6" s="798"/>
      <c r="C6" s="124"/>
      <c r="D6" s="208" t="s">
        <v>169</v>
      </c>
      <c r="E6" s="209" t="s">
        <v>170</v>
      </c>
      <c r="G6" s="199" t="s">
        <v>168</v>
      </c>
      <c r="H6" s="200" t="s">
        <v>133</v>
      </c>
      <c r="J6" s="252" t="s">
        <v>241</v>
      </c>
      <c r="K6" s="259" t="s">
        <v>276</v>
      </c>
      <c r="N6" s="801"/>
      <c r="O6" s="804"/>
      <c r="P6" s="28"/>
      <c r="Q6" s="286">
        <v>2022</v>
      </c>
      <c r="R6" s="287">
        <v>2023</v>
      </c>
      <c r="S6" s="28"/>
      <c r="T6" s="282">
        <v>2022</v>
      </c>
      <c r="U6" s="283">
        <v>2023</v>
      </c>
      <c r="W6" s="282">
        <v>2022</v>
      </c>
      <c r="X6" s="283">
        <v>2023</v>
      </c>
      <c r="Z6" s="801"/>
      <c r="AA6" s="798"/>
      <c r="AB6" s="28"/>
      <c r="AC6" s="288" t="s">
        <v>246</v>
      </c>
      <c r="AD6" s="276" t="s">
        <v>274</v>
      </c>
      <c r="AF6" s="271" t="s">
        <v>250</v>
      </c>
      <c r="AG6" s="273" t="s">
        <v>252</v>
      </c>
      <c r="AH6" s="292" t="s">
        <v>251</v>
      </c>
      <c r="AI6" s="28"/>
      <c r="AJ6" s="28"/>
      <c r="AK6" s="801"/>
      <c r="AL6" s="798"/>
      <c r="AM6" s="28"/>
      <c r="AN6" s="558" t="s">
        <v>173</v>
      </c>
      <c r="AO6" s="214" t="s">
        <v>133</v>
      </c>
      <c r="AP6" s="548" t="s">
        <v>282</v>
      </c>
      <c r="AQ6" s="28"/>
      <c r="AR6" s="213" t="s">
        <v>173</v>
      </c>
      <c r="AS6" s="214" t="s">
        <v>133</v>
      </c>
      <c r="AT6" s="548" t="s">
        <v>282</v>
      </c>
      <c r="AU6" s="28"/>
      <c r="AV6" s="213" t="s">
        <v>173</v>
      </c>
      <c r="AW6" s="214" t="s">
        <v>133</v>
      </c>
      <c r="AX6" s="548" t="s">
        <v>282</v>
      </c>
      <c r="AY6" s="28"/>
      <c r="AZ6" s="801"/>
      <c r="BA6" s="798"/>
      <c r="BB6" s="28"/>
      <c r="BC6" s="354" t="s">
        <v>173</v>
      </c>
      <c r="BD6" s="355" t="s">
        <v>133</v>
      </c>
      <c r="BE6" s="354" t="s">
        <v>324</v>
      </c>
      <c r="BF6" s="563" t="s">
        <v>282</v>
      </c>
      <c r="BG6" s="28"/>
    </row>
    <row r="7" spans="1:59" s="4" customFormat="1" ht="13.5" customHeight="1" x14ac:dyDescent="0.3">
      <c r="A7" s="126" t="s">
        <v>7</v>
      </c>
      <c r="B7" s="130" t="s">
        <v>8</v>
      </c>
      <c r="C7" s="3"/>
      <c r="D7" s="220">
        <v>30256</v>
      </c>
      <c r="E7" s="219">
        <v>164337</v>
      </c>
      <c r="G7" s="193">
        <f>E7-D7</f>
        <v>134081</v>
      </c>
      <c r="H7" s="194">
        <f>E7/D7</f>
        <v>5.4315507667900578</v>
      </c>
      <c r="J7" s="220">
        <v>192612</v>
      </c>
      <c r="K7" s="219">
        <f>E7-J7</f>
        <v>-28275</v>
      </c>
      <c r="L7" s="31"/>
      <c r="M7" s="31"/>
      <c r="N7" s="126" t="s">
        <v>7</v>
      </c>
      <c r="O7" s="130" t="s">
        <v>8</v>
      </c>
      <c r="Q7" s="317">
        <v>53628.259999999995</v>
      </c>
      <c r="R7" s="335">
        <v>198801.25</v>
      </c>
      <c r="T7" s="320">
        <v>53628.259999999995</v>
      </c>
      <c r="U7" s="342">
        <v>198801.25</v>
      </c>
      <c r="V7" s="348"/>
      <c r="W7" s="338">
        <v>53628.26</v>
      </c>
      <c r="X7" s="339">
        <v>198801.25</v>
      </c>
      <c r="Z7" s="126" t="s">
        <v>7</v>
      </c>
      <c r="AA7" s="130" t="s">
        <v>8</v>
      </c>
      <c r="AC7" s="220">
        <v>192612</v>
      </c>
      <c r="AD7" s="345">
        <f t="shared" ref="AD7:AD38" si="0">(U7-AC7)</f>
        <v>6189.25</v>
      </c>
      <c r="AF7" s="324">
        <v>371838.46714296198</v>
      </c>
      <c r="AG7" s="328">
        <v>276925.46714296198</v>
      </c>
      <c r="AH7" s="289">
        <v>94913</v>
      </c>
      <c r="AK7" s="126" t="s">
        <v>7</v>
      </c>
      <c r="AL7" s="130" t="s">
        <v>8</v>
      </c>
      <c r="AN7" s="553">
        <f>U7-T7</f>
        <v>145172.99</v>
      </c>
      <c r="AO7" s="439">
        <f t="shared" ref="AO7:AO39" si="1">U7/T7</f>
        <v>3.7070240578381624</v>
      </c>
      <c r="AP7" s="758">
        <f>AO7-AO86</f>
        <v>2.0106529910822371</v>
      </c>
      <c r="AR7" s="324">
        <f>AF7-U7</f>
        <v>173037.21714296198</v>
      </c>
      <c r="AS7" s="439">
        <f t="shared" ref="AS7:AS39" si="2">AF7/U7</f>
        <v>1.8704030640801401</v>
      </c>
      <c r="AT7" s="759">
        <f>AS7-AS86</f>
        <v>0.65449252343940789</v>
      </c>
      <c r="AV7" s="324">
        <f t="shared" ref="AV7:AV38" si="3">AF7-T7</f>
        <v>318210.20714296197</v>
      </c>
      <c r="AW7" s="439">
        <f t="shared" ref="AW7:AW39" si="4">AF7/T7</f>
        <v>6.9336291563992942</v>
      </c>
      <c r="AX7" s="771">
        <f>AW7-AW86</f>
        <v>4.8709936954928015</v>
      </c>
      <c r="AZ7" s="126" t="s">
        <v>7</v>
      </c>
      <c r="BA7" s="130" t="s">
        <v>8</v>
      </c>
      <c r="BC7" s="220">
        <f t="shared" ref="BC7:BC38" si="5">AH7-T7</f>
        <v>41284.740000000005</v>
      </c>
      <c r="BD7" s="439">
        <f t="shared" ref="BD7:BD39" si="6">AH7/T7</f>
        <v>1.7698318013674135</v>
      </c>
      <c r="BE7" s="570" t="s">
        <v>453</v>
      </c>
      <c r="BF7" s="722">
        <f>BD7-BD86</f>
        <v>0.98811827650855799</v>
      </c>
    </row>
    <row r="8" spans="1:59" s="4" customFormat="1" ht="13.5" customHeight="1" x14ac:dyDescent="0.3">
      <c r="A8" s="127" t="s">
        <v>7</v>
      </c>
      <c r="B8" s="131" t="s">
        <v>9</v>
      </c>
      <c r="C8" s="3"/>
      <c r="D8" s="203">
        <v>31028</v>
      </c>
      <c r="E8" s="202">
        <v>170038</v>
      </c>
      <c r="G8" s="192">
        <f t="shared" ref="G8:G71" si="7">E8-D8</f>
        <v>139010</v>
      </c>
      <c r="H8" s="253">
        <f t="shared" ref="H8:H71" si="8">E8/D8</f>
        <v>5.4801469640324871</v>
      </c>
      <c r="J8" s="203">
        <v>257509</v>
      </c>
      <c r="K8" s="202">
        <f t="shared" ref="K8:K71" si="9">E8-J8</f>
        <v>-87471</v>
      </c>
      <c r="L8" s="31"/>
      <c r="M8" s="31"/>
      <c r="N8" s="127" t="s">
        <v>7</v>
      </c>
      <c r="O8" s="131" t="s">
        <v>9</v>
      </c>
      <c r="Q8" s="317">
        <v>57867</v>
      </c>
      <c r="R8" s="335">
        <v>202819</v>
      </c>
      <c r="T8" s="320">
        <v>57867</v>
      </c>
      <c r="U8" s="342">
        <v>202819</v>
      </c>
      <c r="V8" s="348"/>
      <c r="W8" s="338">
        <v>57867</v>
      </c>
      <c r="X8" s="340">
        <v>202819</v>
      </c>
      <c r="Z8" s="127" t="s">
        <v>7</v>
      </c>
      <c r="AA8" s="131" t="s">
        <v>9</v>
      </c>
      <c r="AC8" s="203">
        <v>257509</v>
      </c>
      <c r="AD8" s="345">
        <f t="shared" si="0"/>
        <v>-54690</v>
      </c>
      <c r="AF8" s="325">
        <v>850932.58445195644</v>
      </c>
      <c r="AG8" s="329">
        <v>465932.58445195644</v>
      </c>
      <c r="AH8" s="290">
        <v>385000</v>
      </c>
      <c r="AK8" s="127" t="s">
        <v>7</v>
      </c>
      <c r="AL8" s="131" t="s">
        <v>9</v>
      </c>
      <c r="AN8" s="553">
        <f t="shared" ref="AN8:AN71" si="10">U8-T8</f>
        <v>144952</v>
      </c>
      <c r="AO8" s="439">
        <f t="shared" si="1"/>
        <v>3.5049164463338345</v>
      </c>
      <c r="AP8" s="759">
        <f>AO8-AO86</f>
        <v>1.8085453795779092</v>
      </c>
      <c r="AR8" s="324">
        <f t="shared" ref="AR8:AR71" si="11">AF8-U8</f>
        <v>648113.58445195644</v>
      </c>
      <c r="AS8" s="439">
        <f t="shared" si="2"/>
        <v>4.1955269696229465</v>
      </c>
      <c r="AT8" s="759">
        <f>AS8-AS86</f>
        <v>2.9796164289822142</v>
      </c>
      <c r="AV8" s="324">
        <f t="shared" si="3"/>
        <v>793065.58445195644</v>
      </c>
      <c r="AW8" s="439">
        <f t="shared" si="4"/>
        <v>14.70497147686862</v>
      </c>
      <c r="AX8" s="759">
        <f>AW8-AW86</f>
        <v>12.642336015962126</v>
      </c>
      <c r="AZ8" s="127" t="s">
        <v>7</v>
      </c>
      <c r="BA8" s="131" t="s">
        <v>9</v>
      </c>
      <c r="BC8" s="220">
        <f t="shared" si="5"/>
        <v>327133</v>
      </c>
      <c r="BD8" s="439">
        <f t="shared" si="6"/>
        <v>6.6531874816389305</v>
      </c>
      <c r="BE8" s="570" t="s">
        <v>453</v>
      </c>
      <c r="BF8" s="545">
        <f>BD8-BD86</f>
        <v>5.8714739567800747</v>
      </c>
    </row>
    <row r="9" spans="1:59" s="4" customFormat="1" ht="13.5" customHeight="1" x14ac:dyDescent="0.3">
      <c r="A9" s="127" t="s">
        <v>7</v>
      </c>
      <c r="B9" s="131" t="s">
        <v>10</v>
      </c>
      <c r="C9" s="3"/>
      <c r="D9" s="203">
        <v>37059</v>
      </c>
      <c r="E9" s="202">
        <v>129715</v>
      </c>
      <c r="G9" s="192">
        <f t="shared" si="7"/>
        <v>92656</v>
      </c>
      <c r="H9" s="253">
        <f t="shared" si="8"/>
        <v>3.5002293639871556</v>
      </c>
      <c r="J9" s="203">
        <v>145306</v>
      </c>
      <c r="K9" s="202">
        <f t="shared" si="9"/>
        <v>-15591</v>
      </c>
      <c r="L9" s="31"/>
      <c r="M9" s="31"/>
      <c r="N9" s="127" t="s">
        <v>7</v>
      </c>
      <c r="O9" s="131" t="s">
        <v>10</v>
      </c>
      <c r="Q9" s="316">
        <v>64630</v>
      </c>
      <c r="R9" s="336">
        <v>166237</v>
      </c>
      <c r="T9" s="321">
        <v>64630</v>
      </c>
      <c r="U9" s="343">
        <v>166237</v>
      </c>
      <c r="V9" s="349"/>
      <c r="W9" s="341">
        <v>64630</v>
      </c>
      <c r="X9" s="340">
        <v>166237</v>
      </c>
      <c r="Z9" s="127" t="s">
        <v>7</v>
      </c>
      <c r="AA9" s="131" t="s">
        <v>10</v>
      </c>
      <c r="AC9" s="203">
        <v>145306</v>
      </c>
      <c r="AD9" s="345">
        <f t="shared" si="0"/>
        <v>20931</v>
      </c>
      <c r="AF9" s="325">
        <v>336057.93945014523</v>
      </c>
      <c r="AG9" s="329">
        <v>248684.93945014526</v>
      </c>
      <c r="AH9" s="290">
        <v>87373</v>
      </c>
      <c r="AK9" s="127" t="s">
        <v>7</v>
      </c>
      <c r="AL9" s="131" t="s">
        <v>10</v>
      </c>
      <c r="AN9" s="553">
        <f t="shared" si="10"/>
        <v>101607</v>
      </c>
      <c r="AO9" s="439">
        <f t="shared" si="1"/>
        <v>2.5721336840476559</v>
      </c>
      <c r="AP9" s="759">
        <f>AO9-AO86</f>
        <v>0.87576261729173055</v>
      </c>
      <c r="AR9" s="324">
        <f t="shared" si="11"/>
        <v>169820.93945014523</v>
      </c>
      <c r="AS9" s="439">
        <f t="shared" si="2"/>
        <v>2.0215592163606493</v>
      </c>
      <c r="AT9" s="759">
        <f>AS9-AS86</f>
        <v>0.80564867571991705</v>
      </c>
      <c r="AV9" s="324">
        <f t="shared" si="3"/>
        <v>271427.93945014523</v>
      </c>
      <c r="AW9" s="439">
        <f t="shared" si="4"/>
        <v>5.1997205546982084</v>
      </c>
      <c r="AX9" s="759">
        <f>AW9-AW86</f>
        <v>3.1370850937917156</v>
      </c>
      <c r="AZ9" s="127" t="s">
        <v>7</v>
      </c>
      <c r="BA9" s="131" t="s">
        <v>10</v>
      </c>
      <c r="BC9" s="220">
        <f t="shared" si="5"/>
        <v>22743</v>
      </c>
      <c r="BD9" s="439">
        <f t="shared" si="6"/>
        <v>1.3518954046108618</v>
      </c>
      <c r="BE9" s="570" t="s">
        <v>453</v>
      </c>
      <c r="BF9" s="545">
        <f>BD9-BD86</f>
        <v>0.57018187975200629</v>
      </c>
    </row>
    <row r="10" spans="1:59" s="4" customFormat="1" ht="13.5" customHeight="1" x14ac:dyDescent="0.3">
      <c r="A10" s="127" t="s">
        <v>7</v>
      </c>
      <c r="B10" s="131" t="s">
        <v>11</v>
      </c>
      <c r="C10" s="3"/>
      <c r="D10" s="203">
        <v>50609</v>
      </c>
      <c r="E10" s="202">
        <v>207977</v>
      </c>
      <c r="G10" s="192">
        <f t="shared" si="7"/>
        <v>157368</v>
      </c>
      <c r="H10" s="253">
        <f t="shared" si="8"/>
        <v>4.1094864549783638</v>
      </c>
      <c r="J10" s="203">
        <v>247872</v>
      </c>
      <c r="K10" s="202">
        <f t="shared" si="9"/>
        <v>-39895</v>
      </c>
      <c r="L10" s="31"/>
      <c r="M10" s="31"/>
      <c r="N10" s="127" t="s">
        <v>7</v>
      </c>
      <c r="O10" s="131" t="s">
        <v>11</v>
      </c>
      <c r="Q10" s="317">
        <v>87902</v>
      </c>
      <c r="R10" s="335">
        <v>282881</v>
      </c>
      <c r="T10" s="320">
        <v>87902</v>
      </c>
      <c r="U10" s="342">
        <v>282881</v>
      </c>
      <c r="V10" s="348"/>
      <c r="W10" s="338">
        <v>87902</v>
      </c>
      <c r="X10" s="340">
        <v>282881</v>
      </c>
      <c r="Z10" s="127" t="s">
        <v>7</v>
      </c>
      <c r="AA10" s="131" t="s">
        <v>11</v>
      </c>
      <c r="AC10" s="203">
        <v>247872</v>
      </c>
      <c r="AD10" s="345">
        <f t="shared" si="0"/>
        <v>35009</v>
      </c>
      <c r="AF10" s="325">
        <v>437499.65665942692</v>
      </c>
      <c r="AG10" s="329">
        <v>363317.65665942692</v>
      </c>
      <c r="AH10" s="290">
        <v>74182</v>
      </c>
      <c r="AK10" s="127" t="s">
        <v>7</v>
      </c>
      <c r="AL10" s="131" t="s">
        <v>11</v>
      </c>
      <c r="AN10" s="553">
        <f t="shared" si="10"/>
        <v>194979</v>
      </c>
      <c r="AO10" s="439">
        <f t="shared" si="1"/>
        <v>3.2181406566403497</v>
      </c>
      <c r="AP10" s="759">
        <f>AO10-AO86</f>
        <v>1.5217695898844243</v>
      </c>
      <c r="AR10" s="324">
        <f t="shared" si="11"/>
        <v>154618.65665942692</v>
      </c>
      <c r="AS10" s="439">
        <f t="shared" si="2"/>
        <v>1.5465855135531439</v>
      </c>
      <c r="AT10" s="756">
        <f>AS10-AS86</f>
        <v>0.33067497291241166</v>
      </c>
      <c r="AV10" s="324">
        <f t="shared" si="3"/>
        <v>349597.65665942692</v>
      </c>
      <c r="AW10" s="439">
        <f t="shared" si="4"/>
        <v>4.9771297201363671</v>
      </c>
      <c r="AX10" s="759">
        <f>AW10-AW86</f>
        <v>2.9144942592298744</v>
      </c>
      <c r="AZ10" s="127" t="s">
        <v>7</v>
      </c>
      <c r="BA10" s="131" t="s">
        <v>11</v>
      </c>
      <c r="BC10" s="220">
        <f t="shared" si="5"/>
        <v>-13720</v>
      </c>
      <c r="BD10" s="439">
        <f t="shared" si="6"/>
        <v>0.84391708948601851</v>
      </c>
      <c r="BE10" s="569" t="s">
        <v>340</v>
      </c>
      <c r="BF10" s="704">
        <f>BD10-BD86</f>
        <v>6.2203564627163033E-2</v>
      </c>
    </row>
    <row r="11" spans="1:59" s="4" customFormat="1" ht="13.5" customHeight="1" x14ac:dyDescent="0.3">
      <c r="A11" s="127" t="s">
        <v>7</v>
      </c>
      <c r="B11" s="131" t="s">
        <v>12</v>
      </c>
      <c r="C11" s="3"/>
      <c r="D11" s="203">
        <v>9519</v>
      </c>
      <c r="E11" s="202">
        <v>73270</v>
      </c>
      <c r="G11" s="192">
        <f t="shared" si="7"/>
        <v>63751</v>
      </c>
      <c r="H11" s="253">
        <f t="shared" si="8"/>
        <v>7.6972371047378925</v>
      </c>
      <c r="J11" s="203">
        <v>84545</v>
      </c>
      <c r="K11" s="202">
        <f t="shared" si="9"/>
        <v>-11275</v>
      </c>
      <c r="L11" s="31"/>
      <c r="M11" s="31"/>
      <c r="N11" s="127" t="s">
        <v>7</v>
      </c>
      <c r="O11" s="131" t="s">
        <v>12</v>
      </c>
      <c r="Q11" s="317">
        <v>17216.619999999995</v>
      </c>
      <c r="R11" s="335">
        <v>90159.53</v>
      </c>
      <c r="T11" s="320">
        <v>17216.619999999995</v>
      </c>
      <c r="U11" s="342">
        <v>90159.53</v>
      </c>
      <c r="V11" s="348"/>
      <c r="W11" s="338">
        <v>17216.620000000003</v>
      </c>
      <c r="X11" s="340">
        <v>90159.53</v>
      </c>
      <c r="Z11" s="127" t="s">
        <v>7</v>
      </c>
      <c r="AA11" s="131" t="s">
        <v>12</v>
      </c>
      <c r="AC11" s="203">
        <v>84545</v>
      </c>
      <c r="AD11" s="345">
        <f t="shared" si="0"/>
        <v>5614.5299999999988</v>
      </c>
      <c r="AF11" s="325">
        <v>155000.15011782054</v>
      </c>
      <c r="AG11" s="329">
        <v>147243.15011782054</v>
      </c>
      <c r="AH11" s="290">
        <v>7757</v>
      </c>
      <c r="AK11" s="127" t="s">
        <v>7</v>
      </c>
      <c r="AL11" s="131" t="s">
        <v>12</v>
      </c>
      <c r="AN11" s="553">
        <f t="shared" si="10"/>
        <v>72942.91</v>
      </c>
      <c r="AO11" s="439">
        <f t="shared" si="1"/>
        <v>5.2367729554349243</v>
      </c>
      <c r="AP11" s="759">
        <f>AO11-AO86</f>
        <v>3.540401888678999</v>
      </c>
      <c r="AR11" s="324">
        <f t="shared" si="11"/>
        <v>64840.620117820537</v>
      </c>
      <c r="AS11" s="439">
        <f t="shared" si="2"/>
        <v>1.7191765542457966</v>
      </c>
      <c r="AT11" s="757">
        <f>AS11-AS86</f>
        <v>0.5032660136050644</v>
      </c>
      <c r="AV11" s="324">
        <f t="shared" si="3"/>
        <v>137783.53011782054</v>
      </c>
      <c r="AW11" s="439">
        <f t="shared" si="4"/>
        <v>9.0029372848921909</v>
      </c>
      <c r="AX11" s="759">
        <f>AW11-AW86</f>
        <v>6.9403018239856982</v>
      </c>
      <c r="AZ11" s="127" t="s">
        <v>7</v>
      </c>
      <c r="BA11" s="131" t="s">
        <v>12</v>
      </c>
      <c r="BC11" s="220">
        <f t="shared" si="5"/>
        <v>-9459.6199999999953</v>
      </c>
      <c r="BD11" s="439">
        <f t="shared" si="6"/>
        <v>0.45055301214756449</v>
      </c>
      <c r="BE11" s="721" t="s">
        <v>454</v>
      </c>
      <c r="BF11" s="724">
        <f>BD11-BD86</f>
        <v>-0.33116051271129099</v>
      </c>
    </row>
    <row r="12" spans="1:59" s="4" customFormat="1" ht="13.5" customHeight="1" x14ac:dyDescent="0.3">
      <c r="A12" s="127" t="s">
        <v>7</v>
      </c>
      <c r="B12" s="131" t="s">
        <v>13</v>
      </c>
      <c r="C12" s="3"/>
      <c r="D12" s="203">
        <v>48642</v>
      </c>
      <c r="E12" s="202">
        <v>228458</v>
      </c>
      <c r="G12" s="192">
        <f t="shared" si="7"/>
        <v>179816</v>
      </c>
      <c r="H12" s="253">
        <f t="shared" si="8"/>
        <v>4.6967229965873116</v>
      </c>
      <c r="J12" s="203">
        <v>184341</v>
      </c>
      <c r="K12" s="202">
        <f t="shared" si="9"/>
        <v>44117</v>
      </c>
      <c r="L12" s="31"/>
      <c r="M12" s="31"/>
      <c r="N12" s="127" t="s">
        <v>7</v>
      </c>
      <c r="O12" s="131" t="s">
        <v>13</v>
      </c>
      <c r="Q12" s="317">
        <v>156453.39999999997</v>
      </c>
      <c r="R12" s="335">
        <v>328167.04000000004</v>
      </c>
      <c r="T12" s="320">
        <v>156453.39999999997</v>
      </c>
      <c r="U12" s="342">
        <v>328167.04000000004</v>
      </c>
      <c r="V12" s="348"/>
      <c r="W12" s="338">
        <v>156453.40000000002</v>
      </c>
      <c r="X12" s="340">
        <v>328167.04000000004</v>
      </c>
      <c r="Z12" s="127" t="s">
        <v>7</v>
      </c>
      <c r="AA12" s="131" t="s">
        <v>13</v>
      </c>
      <c r="AC12" s="203">
        <v>184341</v>
      </c>
      <c r="AD12" s="345">
        <f t="shared" si="0"/>
        <v>143826.04000000004</v>
      </c>
      <c r="AF12" s="325">
        <v>475573.7367862736</v>
      </c>
      <c r="AG12" s="329">
        <v>290613.7367862736</v>
      </c>
      <c r="AH12" s="290">
        <v>184960</v>
      </c>
      <c r="AK12" s="127" t="s">
        <v>7</v>
      </c>
      <c r="AL12" s="131" t="s">
        <v>13</v>
      </c>
      <c r="AN12" s="553">
        <f t="shared" si="10"/>
        <v>171713.64000000007</v>
      </c>
      <c r="AO12" s="439">
        <f t="shared" si="1"/>
        <v>2.0975385641986692</v>
      </c>
      <c r="AP12" s="757">
        <f>AO12-AO86</f>
        <v>0.40116749744274394</v>
      </c>
      <c r="AR12" s="324">
        <f t="shared" si="11"/>
        <v>147406.69678627356</v>
      </c>
      <c r="AS12" s="439">
        <f t="shared" si="2"/>
        <v>1.449181906830965</v>
      </c>
      <c r="AT12" s="756">
        <f>AS12-AS86</f>
        <v>0.23327136619023281</v>
      </c>
      <c r="AV12" s="324">
        <f t="shared" si="3"/>
        <v>319120.33678627363</v>
      </c>
      <c r="AW12" s="439">
        <f t="shared" si="4"/>
        <v>3.039714936116912</v>
      </c>
      <c r="AX12" s="759">
        <f>AW12-AW86</f>
        <v>0.97707947521041927</v>
      </c>
      <c r="AZ12" s="127" t="s">
        <v>7</v>
      </c>
      <c r="BA12" s="131" t="s">
        <v>13</v>
      </c>
      <c r="BC12" s="220">
        <f t="shared" si="5"/>
        <v>28506.600000000035</v>
      </c>
      <c r="BD12" s="439">
        <f t="shared" si="6"/>
        <v>1.1822050527505317</v>
      </c>
      <c r="BE12" s="719" t="s">
        <v>450</v>
      </c>
      <c r="BF12" s="545">
        <f>BD12-BD86</f>
        <v>0.40049152789167619</v>
      </c>
    </row>
    <row r="13" spans="1:59" s="4" customFormat="1" ht="13.5" customHeight="1" x14ac:dyDescent="0.3">
      <c r="A13" s="127" t="s">
        <v>7</v>
      </c>
      <c r="B13" s="131" t="s">
        <v>14</v>
      </c>
      <c r="C13" s="3"/>
      <c r="D13" s="203">
        <v>184202</v>
      </c>
      <c r="E13" s="202">
        <v>253412</v>
      </c>
      <c r="G13" s="192">
        <f t="shared" si="7"/>
        <v>69210</v>
      </c>
      <c r="H13" s="253">
        <f t="shared" si="8"/>
        <v>1.3757288194482145</v>
      </c>
      <c r="J13" s="203">
        <v>190255</v>
      </c>
      <c r="K13" s="202">
        <f t="shared" si="9"/>
        <v>63157</v>
      </c>
      <c r="L13" s="31"/>
      <c r="M13" s="31"/>
      <c r="N13" s="127" t="s">
        <v>7</v>
      </c>
      <c r="O13" s="131" t="s">
        <v>14</v>
      </c>
      <c r="Q13" s="316">
        <v>187016.37</v>
      </c>
      <c r="R13" s="336">
        <v>344533.82</v>
      </c>
      <c r="T13" s="321">
        <v>187016.37</v>
      </c>
      <c r="U13" s="343">
        <v>344533.82</v>
      </c>
      <c r="V13" s="349"/>
      <c r="W13" s="341">
        <v>187016.37</v>
      </c>
      <c r="X13" s="340">
        <v>344533.82000000007</v>
      </c>
      <c r="Z13" s="127" t="s">
        <v>7</v>
      </c>
      <c r="AA13" s="131" t="s">
        <v>14</v>
      </c>
      <c r="AC13" s="203">
        <v>190255</v>
      </c>
      <c r="AD13" s="345">
        <f t="shared" si="0"/>
        <v>154278.82</v>
      </c>
      <c r="AF13" s="325">
        <v>500000.12057593564</v>
      </c>
      <c r="AG13" s="329">
        <v>329648.12057593564</v>
      </c>
      <c r="AH13" s="290">
        <v>170352</v>
      </c>
      <c r="AK13" s="127" t="s">
        <v>7</v>
      </c>
      <c r="AL13" s="131" t="s">
        <v>14</v>
      </c>
      <c r="AN13" s="553">
        <f t="shared" si="10"/>
        <v>157517.45000000001</v>
      </c>
      <c r="AO13" s="439">
        <f t="shared" si="1"/>
        <v>1.8422655727945101</v>
      </c>
      <c r="AP13" s="755">
        <f>AO13-AO86</f>
        <v>0.14589450603858478</v>
      </c>
      <c r="AR13" s="324">
        <f t="shared" si="11"/>
        <v>155466.30057593563</v>
      </c>
      <c r="AS13" s="439">
        <f t="shared" si="2"/>
        <v>1.4512366901337455</v>
      </c>
      <c r="AT13" s="756">
        <f>AS13-AS86</f>
        <v>0.23532614949301323</v>
      </c>
      <c r="AV13" s="324">
        <f t="shared" si="3"/>
        <v>312983.75057593564</v>
      </c>
      <c r="AW13" s="439">
        <f t="shared" si="4"/>
        <v>2.6735633922096533</v>
      </c>
      <c r="AX13" s="759">
        <f>AW13-AW86</f>
        <v>0.61092793130316059</v>
      </c>
      <c r="AZ13" s="127" t="s">
        <v>7</v>
      </c>
      <c r="BA13" s="131" t="s">
        <v>14</v>
      </c>
      <c r="BC13" s="220">
        <f t="shared" si="5"/>
        <v>-16664.369999999995</v>
      </c>
      <c r="BD13" s="439">
        <f t="shared" si="6"/>
        <v>0.91089352231572029</v>
      </c>
      <c r="BE13" s="568" t="s">
        <v>357</v>
      </c>
      <c r="BF13" s="705">
        <f>BD13-BD86</f>
        <v>0.12917999745686481</v>
      </c>
    </row>
    <row r="14" spans="1:59" s="4" customFormat="1" ht="13.5" customHeight="1" x14ac:dyDescent="0.3">
      <c r="A14" s="127" t="s">
        <v>7</v>
      </c>
      <c r="B14" s="131" t="s">
        <v>15</v>
      </c>
      <c r="C14" s="3"/>
      <c r="D14" s="203">
        <v>36086</v>
      </c>
      <c r="E14" s="202">
        <v>120981</v>
      </c>
      <c r="G14" s="192">
        <f t="shared" si="7"/>
        <v>84895</v>
      </c>
      <c r="H14" s="253">
        <f t="shared" si="8"/>
        <v>3.3525744055866542</v>
      </c>
      <c r="J14" s="203">
        <v>105822</v>
      </c>
      <c r="K14" s="202">
        <f t="shared" si="9"/>
        <v>15159</v>
      </c>
      <c r="L14" s="31"/>
      <c r="M14" s="31"/>
      <c r="N14" s="127" t="s">
        <v>7</v>
      </c>
      <c r="O14" s="131" t="s">
        <v>15</v>
      </c>
      <c r="Q14" s="317">
        <v>60599.92</v>
      </c>
      <c r="R14" s="335">
        <v>154947.50999999998</v>
      </c>
      <c r="T14" s="320">
        <v>60599.92</v>
      </c>
      <c r="U14" s="342">
        <v>154947.50999999998</v>
      </c>
      <c r="V14" s="348"/>
      <c r="W14" s="338">
        <v>60599.92</v>
      </c>
      <c r="X14" s="340">
        <v>154947.51</v>
      </c>
      <c r="Z14" s="127" t="s">
        <v>7</v>
      </c>
      <c r="AA14" s="131" t="s">
        <v>15</v>
      </c>
      <c r="AC14" s="203">
        <v>105822</v>
      </c>
      <c r="AD14" s="345">
        <f t="shared" si="0"/>
        <v>49125.50999999998</v>
      </c>
      <c r="AF14" s="325">
        <v>179999.4491753919</v>
      </c>
      <c r="AG14" s="329">
        <v>147170.4491753919</v>
      </c>
      <c r="AH14" s="290">
        <v>32829</v>
      </c>
      <c r="AK14" s="127" t="s">
        <v>7</v>
      </c>
      <c r="AL14" s="131" t="s">
        <v>15</v>
      </c>
      <c r="AN14" s="553">
        <f t="shared" si="10"/>
        <v>94347.589999999982</v>
      </c>
      <c r="AO14" s="439">
        <f t="shared" si="1"/>
        <v>2.5568929793966721</v>
      </c>
      <c r="AP14" s="759">
        <f>AO14-AO86</f>
        <v>0.86052191264074684</v>
      </c>
      <c r="AR14" s="324">
        <f t="shared" si="11"/>
        <v>25051.939175391919</v>
      </c>
      <c r="AS14" s="439">
        <f t="shared" si="2"/>
        <v>1.1616801662407605</v>
      </c>
      <c r="AT14" s="761">
        <f>AS14-AS86</f>
        <v>-5.4230374399971693E-2</v>
      </c>
      <c r="AV14" s="324">
        <f t="shared" si="3"/>
        <v>119399.5291753919</v>
      </c>
      <c r="AW14" s="439">
        <f t="shared" si="4"/>
        <v>2.9702918613653599</v>
      </c>
      <c r="AX14" s="759">
        <f>AW14-AW86</f>
        <v>0.9076564004588672</v>
      </c>
      <c r="AZ14" s="127" t="s">
        <v>7</v>
      </c>
      <c r="BA14" s="131" t="s">
        <v>15</v>
      </c>
      <c r="BC14" s="220">
        <f t="shared" si="5"/>
        <v>-27770.92</v>
      </c>
      <c r="BD14" s="439">
        <f t="shared" si="6"/>
        <v>0.54173338842691543</v>
      </c>
      <c r="BE14" s="721" t="s">
        <v>454</v>
      </c>
      <c r="BF14" s="709">
        <f>BD14-BD86</f>
        <v>-0.23998013643194005</v>
      </c>
    </row>
    <row r="15" spans="1:59" s="4" customFormat="1" ht="13.5" customHeight="1" x14ac:dyDescent="0.3">
      <c r="A15" s="127" t="s">
        <v>7</v>
      </c>
      <c r="B15" s="131" t="s">
        <v>16</v>
      </c>
      <c r="C15" s="3"/>
      <c r="D15" s="203">
        <v>162061</v>
      </c>
      <c r="E15" s="202">
        <v>406112</v>
      </c>
      <c r="G15" s="192">
        <f t="shared" si="7"/>
        <v>244051</v>
      </c>
      <c r="H15" s="253">
        <f t="shared" si="8"/>
        <v>2.5059206101406262</v>
      </c>
      <c r="J15" s="203">
        <v>356650</v>
      </c>
      <c r="K15" s="202">
        <f t="shared" si="9"/>
        <v>49462</v>
      </c>
      <c r="L15" s="31"/>
      <c r="M15" s="31"/>
      <c r="N15" s="127" t="s">
        <v>7</v>
      </c>
      <c r="O15" s="131" t="s">
        <v>16</v>
      </c>
      <c r="Q15" s="317">
        <v>368740.32</v>
      </c>
      <c r="R15" s="335">
        <v>594695.31000000006</v>
      </c>
      <c r="T15" s="19">
        <v>368740.32</v>
      </c>
      <c r="U15" s="342">
        <v>594695.31000000006</v>
      </c>
      <c r="V15" s="348"/>
      <c r="W15" s="338">
        <v>368740.32</v>
      </c>
      <c r="X15" s="340">
        <v>594695.31000000006</v>
      </c>
      <c r="Z15" s="127" t="s">
        <v>7</v>
      </c>
      <c r="AA15" s="131" t="s">
        <v>16</v>
      </c>
      <c r="AC15" s="203">
        <v>356650</v>
      </c>
      <c r="AD15" s="345">
        <f t="shared" si="0"/>
        <v>238045.31000000006</v>
      </c>
      <c r="AF15" s="325">
        <v>1318299.0611636939</v>
      </c>
      <c r="AG15" s="329">
        <v>546299.0611636939</v>
      </c>
      <c r="AH15" s="290">
        <v>772000</v>
      </c>
      <c r="AK15" s="127" t="s">
        <v>7</v>
      </c>
      <c r="AL15" s="131" t="s">
        <v>16</v>
      </c>
      <c r="AN15" s="553">
        <f t="shared" si="10"/>
        <v>225954.99000000005</v>
      </c>
      <c r="AO15" s="439">
        <f t="shared" si="1"/>
        <v>1.6127753807883012</v>
      </c>
      <c r="AP15" s="761">
        <f>AO15-AO86</f>
        <v>-8.3595685967624123E-2</v>
      </c>
      <c r="AR15" s="324">
        <f t="shared" si="11"/>
        <v>723603.75116369384</v>
      </c>
      <c r="AS15" s="439">
        <f t="shared" si="2"/>
        <v>2.2167638435952921</v>
      </c>
      <c r="AT15" s="759">
        <f>AS15-AS86</f>
        <v>1.0008533029545599</v>
      </c>
      <c r="AV15" s="324">
        <f t="shared" si="3"/>
        <v>949558.74116369383</v>
      </c>
      <c r="AW15" s="439">
        <f t="shared" si="4"/>
        <v>3.5751421519721354</v>
      </c>
      <c r="AX15" s="759">
        <f>AW15-AW86</f>
        <v>1.5125066910656426</v>
      </c>
      <c r="AZ15" s="127" t="s">
        <v>7</v>
      </c>
      <c r="BA15" s="131" t="s">
        <v>16</v>
      </c>
      <c r="BC15" s="220">
        <f t="shared" si="5"/>
        <v>403259.68</v>
      </c>
      <c r="BD15" s="439">
        <f t="shared" si="6"/>
        <v>2.0936142811830285</v>
      </c>
      <c r="BE15" s="570" t="s">
        <v>358</v>
      </c>
      <c r="BF15" s="545">
        <f>BD15-BD86</f>
        <v>1.3119007563241731</v>
      </c>
    </row>
    <row r="16" spans="1:59" s="4" customFormat="1" ht="13.5" customHeight="1" x14ac:dyDescent="0.3">
      <c r="A16" s="127" t="s">
        <v>7</v>
      </c>
      <c r="B16" s="131" t="s">
        <v>17</v>
      </c>
      <c r="C16" s="3"/>
      <c r="D16" s="203">
        <v>69395</v>
      </c>
      <c r="E16" s="202">
        <v>463084</v>
      </c>
      <c r="G16" s="192">
        <f t="shared" si="7"/>
        <v>393689</v>
      </c>
      <c r="H16" s="253">
        <f t="shared" si="8"/>
        <v>6.6731608905540742</v>
      </c>
      <c r="J16" s="203">
        <v>424185</v>
      </c>
      <c r="K16" s="202">
        <f t="shared" si="9"/>
        <v>38899</v>
      </c>
      <c r="L16" s="31"/>
      <c r="M16" s="31"/>
      <c r="N16" s="127" t="s">
        <v>7</v>
      </c>
      <c r="O16" s="131" t="s">
        <v>17</v>
      </c>
      <c r="Q16" s="316">
        <v>118664.08</v>
      </c>
      <c r="R16" s="336">
        <v>288313.58</v>
      </c>
      <c r="T16" s="321">
        <v>118664.08</v>
      </c>
      <c r="U16" s="343">
        <v>288313.58</v>
      </c>
      <c r="V16" s="349"/>
      <c r="W16" s="341">
        <v>118664.07999999999</v>
      </c>
      <c r="X16" s="340">
        <v>288313.57999999996</v>
      </c>
      <c r="Z16" s="127" t="s">
        <v>7</v>
      </c>
      <c r="AA16" s="131" t="s">
        <v>17</v>
      </c>
      <c r="AC16" s="203">
        <v>424185</v>
      </c>
      <c r="AD16" s="345">
        <f t="shared" si="0"/>
        <v>-135871.41999999998</v>
      </c>
      <c r="AF16" s="325">
        <v>802458.13769484847</v>
      </c>
      <c r="AG16" s="329">
        <v>690458.13769484847</v>
      </c>
      <c r="AH16" s="290">
        <v>112000</v>
      </c>
      <c r="AK16" s="127" t="s">
        <v>7</v>
      </c>
      <c r="AL16" s="131" t="s">
        <v>17</v>
      </c>
      <c r="AN16" s="553">
        <f t="shared" si="10"/>
        <v>169649.5</v>
      </c>
      <c r="AO16" s="439">
        <f t="shared" si="1"/>
        <v>2.4296617813916392</v>
      </c>
      <c r="AP16" s="759">
        <f>AO16-AO86</f>
        <v>0.73329071463571394</v>
      </c>
      <c r="AR16" s="324">
        <f t="shared" si="11"/>
        <v>514144.55769484845</v>
      </c>
      <c r="AS16" s="439">
        <f t="shared" si="2"/>
        <v>2.7832824860169558</v>
      </c>
      <c r="AT16" s="759">
        <f>AS16-AS86</f>
        <v>1.5673719453762236</v>
      </c>
      <c r="AV16" s="324">
        <f t="shared" si="3"/>
        <v>683794.05769484851</v>
      </c>
      <c r="AW16" s="439">
        <f t="shared" si="4"/>
        <v>6.7624350830921074</v>
      </c>
      <c r="AX16" s="759">
        <f>AW16-AW86</f>
        <v>4.6997996221856146</v>
      </c>
      <c r="AZ16" s="127" t="s">
        <v>7</v>
      </c>
      <c r="BA16" s="131" t="s">
        <v>17</v>
      </c>
      <c r="BC16" s="220">
        <f t="shared" si="5"/>
        <v>-6664.0800000000017</v>
      </c>
      <c r="BD16" s="439">
        <f t="shared" si="6"/>
        <v>0.94384079832751411</v>
      </c>
      <c r="BE16" s="568" t="s">
        <v>357</v>
      </c>
      <c r="BF16" s="705">
        <f>BD16-BD86</f>
        <v>0.16212727346865863</v>
      </c>
    </row>
    <row r="17" spans="1:58" s="4" customFormat="1" ht="13.5" customHeight="1" x14ac:dyDescent="0.3">
      <c r="A17" s="127" t="s">
        <v>7</v>
      </c>
      <c r="B17" s="131" t="s">
        <v>18</v>
      </c>
      <c r="C17" s="3"/>
      <c r="D17" s="203">
        <v>20081</v>
      </c>
      <c r="E17" s="202">
        <v>96024</v>
      </c>
      <c r="G17" s="192">
        <f t="shared" si="7"/>
        <v>75943</v>
      </c>
      <c r="H17" s="253">
        <f t="shared" si="8"/>
        <v>4.7818335740251978</v>
      </c>
      <c r="J17" s="203">
        <v>114280</v>
      </c>
      <c r="K17" s="202">
        <f t="shared" si="9"/>
        <v>-18256</v>
      </c>
      <c r="L17" s="31"/>
      <c r="M17" s="31"/>
      <c r="N17" s="127" t="s">
        <v>7</v>
      </c>
      <c r="O17" s="131" t="s">
        <v>18</v>
      </c>
      <c r="Q17" s="317">
        <v>36617.83</v>
      </c>
      <c r="R17" s="335">
        <v>121459.77000000002</v>
      </c>
      <c r="T17" s="320">
        <v>36617.83</v>
      </c>
      <c r="U17" s="342">
        <v>121459.77000000002</v>
      </c>
      <c r="V17" s="348"/>
      <c r="W17" s="338">
        <v>36617.83</v>
      </c>
      <c r="X17" s="340">
        <v>121459.77</v>
      </c>
      <c r="Z17" s="127" t="s">
        <v>7</v>
      </c>
      <c r="AA17" s="131" t="s">
        <v>18</v>
      </c>
      <c r="AC17" s="203">
        <v>114280</v>
      </c>
      <c r="AD17" s="345">
        <f t="shared" si="0"/>
        <v>7179.7700000000186</v>
      </c>
      <c r="AF17" s="325">
        <v>252663.32613947531</v>
      </c>
      <c r="AG17" s="329">
        <v>176607.32613947531</v>
      </c>
      <c r="AH17" s="290">
        <v>76056</v>
      </c>
      <c r="AK17" s="127" t="s">
        <v>7</v>
      </c>
      <c r="AL17" s="131" t="s">
        <v>18</v>
      </c>
      <c r="AN17" s="553">
        <f t="shared" si="10"/>
        <v>84841.940000000017</v>
      </c>
      <c r="AO17" s="439">
        <f t="shared" si="1"/>
        <v>3.3169570670899944</v>
      </c>
      <c r="AP17" s="759">
        <f>AO17-AO86</f>
        <v>1.6205860003340691</v>
      </c>
      <c r="AR17" s="324">
        <f t="shared" si="11"/>
        <v>131203.55613947529</v>
      </c>
      <c r="AS17" s="439">
        <f t="shared" si="2"/>
        <v>2.080222333201152</v>
      </c>
      <c r="AT17" s="759">
        <f>AS17-AS86</f>
        <v>0.86431179256041979</v>
      </c>
      <c r="AV17" s="324">
        <f t="shared" si="3"/>
        <v>216045.49613947532</v>
      </c>
      <c r="AW17" s="439">
        <f t="shared" si="4"/>
        <v>6.9000081692299977</v>
      </c>
      <c r="AX17" s="759">
        <f>AW17-AW86</f>
        <v>4.837372708323505</v>
      </c>
      <c r="AZ17" s="127" t="s">
        <v>7</v>
      </c>
      <c r="BA17" s="131" t="s">
        <v>18</v>
      </c>
      <c r="BC17" s="220">
        <f t="shared" si="5"/>
        <v>39438.17</v>
      </c>
      <c r="BD17" s="439">
        <f t="shared" si="6"/>
        <v>2.0770209485379114</v>
      </c>
      <c r="BE17" s="570" t="s">
        <v>453</v>
      </c>
      <c r="BF17" s="545">
        <f>BD17-BD86</f>
        <v>1.295307423679056</v>
      </c>
    </row>
    <row r="18" spans="1:58" s="4" customFormat="1" ht="13.5" customHeight="1" x14ac:dyDescent="0.3">
      <c r="A18" s="127" t="s">
        <v>7</v>
      </c>
      <c r="B18" s="131" t="s">
        <v>19</v>
      </c>
      <c r="C18" s="3"/>
      <c r="D18" s="203">
        <v>206863</v>
      </c>
      <c r="E18" s="202">
        <v>116326</v>
      </c>
      <c r="G18" s="192">
        <f t="shared" si="7"/>
        <v>-90537</v>
      </c>
      <c r="H18" s="253">
        <f t="shared" si="8"/>
        <v>0.56233352508665158</v>
      </c>
      <c r="J18" s="203">
        <v>228242</v>
      </c>
      <c r="K18" s="202">
        <f t="shared" si="9"/>
        <v>-111916</v>
      </c>
      <c r="L18" s="31"/>
      <c r="M18" s="31"/>
      <c r="N18" s="127" t="s">
        <v>7</v>
      </c>
      <c r="O18" s="131" t="s">
        <v>19</v>
      </c>
      <c r="Q18" s="316">
        <v>405109.95999999996</v>
      </c>
      <c r="R18" s="336">
        <v>258473.15000000002</v>
      </c>
      <c r="T18" s="321">
        <v>392990.95999999996</v>
      </c>
      <c r="U18" s="343">
        <v>258473.15000000002</v>
      </c>
      <c r="V18" s="349"/>
      <c r="W18" s="341">
        <v>230008.68</v>
      </c>
      <c r="X18" s="340">
        <v>255028.66</v>
      </c>
      <c r="Z18" s="127" t="s">
        <v>7</v>
      </c>
      <c r="AA18" s="131" t="s">
        <v>19</v>
      </c>
      <c r="AC18" s="203">
        <v>228242</v>
      </c>
      <c r="AD18" s="345">
        <f t="shared" si="0"/>
        <v>30231.150000000023</v>
      </c>
      <c r="AF18" s="325">
        <v>479999.99013257847</v>
      </c>
      <c r="AG18" s="329">
        <v>404752.99013257847</v>
      </c>
      <c r="AH18" s="290">
        <v>75247</v>
      </c>
      <c r="AK18" s="127" t="s">
        <v>7</v>
      </c>
      <c r="AL18" s="131" t="s">
        <v>19</v>
      </c>
      <c r="AN18" s="553">
        <f t="shared" si="10"/>
        <v>-134517.80999999994</v>
      </c>
      <c r="AO18" s="439">
        <f t="shared" si="1"/>
        <v>0.65770762258755278</v>
      </c>
      <c r="AP18" s="764">
        <f>AO18-AO86</f>
        <v>-1.0386634441683724</v>
      </c>
      <c r="AR18" s="324">
        <f t="shared" si="11"/>
        <v>221526.84013257845</v>
      </c>
      <c r="AS18" s="439">
        <f t="shared" si="2"/>
        <v>1.857059389466869</v>
      </c>
      <c r="AT18" s="759">
        <f>AS18-AS86</f>
        <v>0.64114884882613676</v>
      </c>
      <c r="AV18" s="324">
        <f t="shared" si="3"/>
        <v>87009.030132578511</v>
      </c>
      <c r="AW18" s="439">
        <f t="shared" si="4"/>
        <v>1.2214021160501467</v>
      </c>
      <c r="AX18" s="764">
        <f>AW18-AW86</f>
        <v>-0.84123334485634604</v>
      </c>
      <c r="AZ18" s="127" t="s">
        <v>7</v>
      </c>
      <c r="BA18" s="131" t="s">
        <v>19</v>
      </c>
      <c r="BC18" s="220">
        <f t="shared" si="5"/>
        <v>-317743.95999999996</v>
      </c>
      <c r="BD18" s="439">
        <f t="shared" si="6"/>
        <v>0.19147259774117961</v>
      </c>
      <c r="BE18" s="721" t="s">
        <v>454</v>
      </c>
      <c r="BF18" s="724">
        <f>BD18-BD86</f>
        <v>-0.59024092711767584</v>
      </c>
    </row>
    <row r="19" spans="1:58" s="4" customFormat="1" ht="13.5" customHeight="1" x14ac:dyDescent="0.3">
      <c r="A19" s="127" t="s">
        <v>7</v>
      </c>
      <c r="B19" s="131" t="s">
        <v>20</v>
      </c>
      <c r="C19" s="3"/>
      <c r="D19" s="203">
        <v>16562</v>
      </c>
      <c r="E19" s="202">
        <v>172648</v>
      </c>
      <c r="G19" s="192">
        <f t="shared" si="7"/>
        <v>156086</v>
      </c>
      <c r="H19" s="253">
        <f t="shared" si="8"/>
        <v>10.424344885883347</v>
      </c>
      <c r="J19" s="203">
        <v>216097</v>
      </c>
      <c r="K19" s="202">
        <f t="shared" si="9"/>
        <v>-43449</v>
      </c>
      <c r="L19" s="31"/>
      <c r="M19" s="31"/>
      <c r="N19" s="127" t="s">
        <v>7</v>
      </c>
      <c r="O19" s="131" t="s">
        <v>20</v>
      </c>
      <c r="Q19" s="317">
        <v>21554.32</v>
      </c>
      <c r="R19" s="335">
        <v>191813.26</v>
      </c>
      <c r="T19" s="320">
        <v>21554.32</v>
      </c>
      <c r="U19" s="342">
        <v>191813.26</v>
      </c>
      <c r="V19" s="348"/>
      <c r="W19" s="338">
        <v>21554.32</v>
      </c>
      <c r="X19" s="340">
        <v>191813.26</v>
      </c>
      <c r="Z19" s="127" t="s">
        <v>7</v>
      </c>
      <c r="AA19" s="131" t="s">
        <v>20</v>
      </c>
      <c r="AC19" s="203">
        <v>216097</v>
      </c>
      <c r="AD19" s="345">
        <f t="shared" si="0"/>
        <v>-24283.739999999991</v>
      </c>
      <c r="AF19" s="325">
        <v>458898.82503576414</v>
      </c>
      <c r="AG19" s="329">
        <v>339158.82503576414</v>
      </c>
      <c r="AH19" s="290">
        <v>119740</v>
      </c>
      <c r="AK19" s="127" t="s">
        <v>7</v>
      </c>
      <c r="AL19" s="131" t="s">
        <v>20</v>
      </c>
      <c r="AN19" s="553">
        <f t="shared" si="10"/>
        <v>170258.94</v>
      </c>
      <c r="AO19" s="439">
        <f t="shared" si="1"/>
        <v>8.8990633896128486</v>
      </c>
      <c r="AP19" s="759">
        <f>AO19-AO86</f>
        <v>7.2026923228569233</v>
      </c>
      <c r="AR19" s="324">
        <f t="shared" si="11"/>
        <v>267085.56503576413</v>
      </c>
      <c r="AS19" s="439">
        <f t="shared" si="2"/>
        <v>2.3924249295161562</v>
      </c>
      <c r="AT19" s="759">
        <f>AS19-AS86</f>
        <v>1.1765143888754239</v>
      </c>
      <c r="AV19" s="324">
        <f t="shared" si="3"/>
        <v>437344.50503576413</v>
      </c>
      <c r="AW19" s="439">
        <f t="shared" si="4"/>
        <v>21.290341102654324</v>
      </c>
      <c r="AX19" s="759">
        <f>AW19-AW86</f>
        <v>19.227705641747832</v>
      </c>
      <c r="AZ19" s="127" t="s">
        <v>7</v>
      </c>
      <c r="BA19" s="131" t="s">
        <v>20</v>
      </c>
      <c r="BC19" s="220">
        <f t="shared" si="5"/>
        <v>98185.68</v>
      </c>
      <c r="BD19" s="439">
        <f t="shared" si="6"/>
        <v>5.5552668792149325</v>
      </c>
      <c r="BE19" s="570" t="s">
        <v>453</v>
      </c>
      <c r="BF19" s="545">
        <f>BD19-BD86</f>
        <v>4.7735533543560766</v>
      </c>
    </row>
    <row r="20" spans="1:58" s="4" customFormat="1" ht="13.5" customHeight="1" x14ac:dyDescent="0.3">
      <c r="A20" s="127" t="s">
        <v>7</v>
      </c>
      <c r="B20" s="131" t="s">
        <v>21</v>
      </c>
      <c r="C20" s="3"/>
      <c r="D20" s="203">
        <v>150194</v>
      </c>
      <c r="E20" s="202">
        <v>451684</v>
      </c>
      <c r="G20" s="192">
        <f t="shared" si="7"/>
        <v>301490</v>
      </c>
      <c r="H20" s="253">
        <f t="shared" si="8"/>
        <v>3.0073371772507556</v>
      </c>
      <c r="J20" s="203">
        <v>492600</v>
      </c>
      <c r="K20" s="202">
        <f t="shared" si="9"/>
        <v>-40916</v>
      </c>
      <c r="L20" s="31"/>
      <c r="M20" s="31"/>
      <c r="N20" s="127" t="s">
        <v>7</v>
      </c>
      <c r="O20" s="131" t="s">
        <v>21</v>
      </c>
      <c r="Q20" s="316">
        <v>307483</v>
      </c>
      <c r="R20" s="336">
        <v>626898</v>
      </c>
      <c r="T20" s="321">
        <v>307483</v>
      </c>
      <c r="U20" s="343">
        <v>626898</v>
      </c>
      <c r="V20" s="349"/>
      <c r="W20" s="341">
        <v>307483</v>
      </c>
      <c r="X20" s="340">
        <v>626898</v>
      </c>
      <c r="Z20" s="127" t="s">
        <v>7</v>
      </c>
      <c r="AA20" s="131" t="s">
        <v>21</v>
      </c>
      <c r="AC20" s="203">
        <v>492600</v>
      </c>
      <c r="AD20" s="345">
        <f t="shared" si="0"/>
        <v>134298</v>
      </c>
      <c r="AF20" s="325">
        <v>970097.24538165785</v>
      </c>
      <c r="AG20" s="329">
        <v>767756.24538165785</v>
      </c>
      <c r="AH20" s="290">
        <v>202341</v>
      </c>
      <c r="AK20" s="127" t="s">
        <v>7</v>
      </c>
      <c r="AL20" s="131" t="s">
        <v>21</v>
      </c>
      <c r="AN20" s="553">
        <f t="shared" si="10"/>
        <v>319415</v>
      </c>
      <c r="AO20" s="439">
        <f t="shared" si="1"/>
        <v>2.0388053973715619</v>
      </c>
      <c r="AP20" s="756">
        <f>AO20-AO86</f>
        <v>0.34243433061563655</v>
      </c>
      <c r="AR20" s="324">
        <f t="shared" si="11"/>
        <v>343199.24538165785</v>
      </c>
      <c r="AS20" s="439">
        <f t="shared" si="2"/>
        <v>1.5474562773874823</v>
      </c>
      <c r="AT20" s="756">
        <f>AS20-AS86</f>
        <v>0.33154573674675003</v>
      </c>
      <c r="AV20" s="324">
        <f t="shared" si="3"/>
        <v>662614.24538165785</v>
      </c>
      <c r="AW20" s="439">
        <f t="shared" si="4"/>
        <v>3.1549622105341038</v>
      </c>
      <c r="AX20" s="759">
        <f>AW20-AW86</f>
        <v>1.092326749627611</v>
      </c>
      <c r="AZ20" s="127" t="s">
        <v>7</v>
      </c>
      <c r="BA20" s="131" t="s">
        <v>21</v>
      </c>
      <c r="BC20" s="220">
        <f t="shared" si="5"/>
        <v>-105142</v>
      </c>
      <c r="BD20" s="439">
        <f t="shared" si="6"/>
        <v>0.65805589252088736</v>
      </c>
      <c r="BE20" s="721" t="s">
        <v>454</v>
      </c>
      <c r="BF20" s="707">
        <f>BD20-BD86</f>
        <v>-0.12365763233796812</v>
      </c>
    </row>
    <row r="21" spans="1:58" s="4" customFormat="1" ht="13.5" customHeight="1" x14ac:dyDescent="0.3">
      <c r="A21" s="127" t="s">
        <v>7</v>
      </c>
      <c r="B21" s="131" t="s">
        <v>22</v>
      </c>
      <c r="C21" s="3"/>
      <c r="D21" s="203">
        <v>3021300</v>
      </c>
      <c r="E21" s="202">
        <v>10323480</v>
      </c>
      <c r="G21" s="192">
        <f t="shared" si="7"/>
        <v>7302180</v>
      </c>
      <c r="H21" s="253">
        <f t="shared" si="8"/>
        <v>3.4169000099295004</v>
      </c>
      <c r="J21" s="203">
        <v>12059841</v>
      </c>
      <c r="K21" s="202">
        <f t="shared" si="9"/>
        <v>-1736361</v>
      </c>
      <c r="L21" s="31"/>
      <c r="M21" s="31"/>
      <c r="N21" s="127" t="s">
        <v>7</v>
      </c>
      <c r="O21" s="131" t="s">
        <v>22</v>
      </c>
      <c r="Q21" s="316">
        <v>14170567.550000001</v>
      </c>
      <c r="R21" s="336">
        <v>16043586.5</v>
      </c>
      <c r="T21" s="19">
        <v>9731318.7100000009</v>
      </c>
      <c r="U21" s="343">
        <v>17350625.25</v>
      </c>
      <c r="V21" s="349"/>
      <c r="W21" s="341">
        <v>7400281.8399999999</v>
      </c>
      <c r="X21" s="340">
        <v>14428547.789999999</v>
      </c>
      <c r="Z21" s="127" t="s">
        <v>7</v>
      </c>
      <c r="AA21" s="131" t="s">
        <v>22</v>
      </c>
      <c r="AC21" s="203">
        <v>12059841</v>
      </c>
      <c r="AD21" s="345">
        <f t="shared" si="0"/>
        <v>5290784.25</v>
      </c>
      <c r="AF21" s="325">
        <v>23796828.549047228</v>
      </c>
      <c r="AG21" s="329">
        <v>16846640.549047228</v>
      </c>
      <c r="AH21" s="290">
        <v>6950188</v>
      </c>
      <c r="AK21" s="127" t="s">
        <v>7</v>
      </c>
      <c r="AL21" s="131" t="s">
        <v>22</v>
      </c>
      <c r="AN21" s="553">
        <f t="shared" si="10"/>
        <v>7619306.5399999991</v>
      </c>
      <c r="AO21" s="439">
        <f t="shared" si="1"/>
        <v>1.7829675265049456</v>
      </c>
      <c r="AP21" s="755">
        <f>AO21-AO86</f>
        <v>8.6596459749020305E-2</v>
      </c>
      <c r="AR21" s="324">
        <f t="shared" si="11"/>
        <v>6446203.2990472279</v>
      </c>
      <c r="AS21" s="439">
        <f t="shared" si="2"/>
        <v>1.3715257062016959</v>
      </c>
      <c r="AT21" s="755">
        <f>AS21-AS86</f>
        <v>0.15561516556096366</v>
      </c>
      <c r="AV21" s="324">
        <f t="shared" si="3"/>
        <v>14065509.839047227</v>
      </c>
      <c r="AW21" s="439">
        <f t="shared" si="4"/>
        <v>2.4453857959243868</v>
      </c>
      <c r="AX21" s="756">
        <f>AW21-AW86</f>
        <v>0.38275033501789402</v>
      </c>
      <c r="AZ21" s="127" t="s">
        <v>7</v>
      </c>
      <c r="BA21" s="131" t="s">
        <v>22</v>
      </c>
      <c r="BC21" s="220">
        <f t="shared" si="5"/>
        <v>-2781130.7100000009</v>
      </c>
      <c r="BD21" s="439">
        <f t="shared" si="6"/>
        <v>0.71420823910102926</v>
      </c>
      <c r="BE21" s="567" t="s">
        <v>356</v>
      </c>
      <c r="BF21" s="706">
        <f>BD21-BD86</f>
        <v>-6.7505285757826217E-2</v>
      </c>
    </row>
    <row r="22" spans="1:58" s="4" customFormat="1" ht="13.5" customHeight="1" x14ac:dyDescent="0.3">
      <c r="A22" s="127" t="s">
        <v>7</v>
      </c>
      <c r="B22" s="131" t="s">
        <v>23</v>
      </c>
      <c r="C22" s="3"/>
      <c r="D22" s="203">
        <v>27949</v>
      </c>
      <c r="E22" s="202">
        <v>59408</v>
      </c>
      <c r="G22" s="192">
        <f t="shared" si="7"/>
        <v>31459</v>
      </c>
      <c r="H22" s="253">
        <f t="shared" si="8"/>
        <v>2.1255858885827759</v>
      </c>
      <c r="J22" s="203">
        <v>408167</v>
      </c>
      <c r="K22" s="202">
        <f t="shared" si="9"/>
        <v>-348759</v>
      </c>
      <c r="L22" s="31"/>
      <c r="M22" s="31"/>
      <c r="N22" s="127" t="s">
        <v>7</v>
      </c>
      <c r="O22" s="131" t="s">
        <v>23</v>
      </c>
      <c r="Q22" s="316">
        <v>1005383.48</v>
      </c>
      <c r="R22" s="335">
        <v>1457794.12</v>
      </c>
      <c r="T22" s="19">
        <v>1005383.48</v>
      </c>
      <c r="U22" s="342">
        <v>1457794.12</v>
      </c>
      <c r="V22" s="348"/>
      <c r="W22" s="338">
        <v>950470.84</v>
      </c>
      <c r="X22" s="340">
        <v>1396598.68</v>
      </c>
      <c r="Z22" s="127" t="s">
        <v>7</v>
      </c>
      <c r="AA22" s="131" t="s">
        <v>23</v>
      </c>
      <c r="AC22" s="203">
        <v>408167</v>
      </c>
      <c r="AD22" s="345">
        <f t="shared" si="0"/>
        <v>1049627.1200000001</v>
      </c>
      <c r="AF22" s="325">
        <v>724404.26525756752</v>
      </c>
      <c r="AG22" s="329">
        <v>689404.26525756752</v>
      </c>
      <c r="AH22" s="290">
        <v>35000</v>
      </c>
      <c r="AK22" s="127" t="s">
        <v>7</v>
      </c>
      <c r="AL22" s="131" t="s">
        <v>23</v>
      </c>
      <c r="AN22" s="553">
        <f t="shared" si="10"/>
        <v>452410.64000000013</v>
      </c>
      <c r="AO22" s="439">
        <f t="shared" si="1"/>
        <v>1.4499881378595958</v>
      </c>
      <c r="AP22" s="762">
        <f>AO22-AO86</f>
        <v>-0.24638292889632951</v>
      </c>
      <c r="AR22" s="324">
        <f t="shared" si="11"/>
        <v>-733389.8547424326</v>
      </c>
      <c r="AS22" s="439">
        <f t="shared" si="2"/>
        <v>0.49691808693642381</v>
      </c>
      <c r="AT22" s="764">
        <f>AS22-AS86</f>
        <v>-0.71899245370430842</v>
      </c>
      <c r="AV22" s="324">
        <f t="shared" si="3"/>
        <v>-280979.21474243246</v>
      </c>
      <c r="AW22" s="439">
        <f t="shared" si="4"/>
        <v>0.72052533154569787</v>
      </c>
      <c r="AX22" s="764">
        <f>AW22-AW86</f>
        <v>-1.3421101293607949</v>
      </c>
      <c r="AZ22" s="127" t="s">
        <v>7</v>
      </c>
      <c r="BA22" s="131" t="s">
        <v>23</v>
      </c>
      <c r="BC22" s="220">
        <f t="shared" si="5"/>
        <v>-970383.48</v>
      </c>
      <c r="BD22" s="439">
        <f t="shared" si="6"/>
        <v>3.4812587133418983E-2</v>
      </c>
      <c r="BE22" s="721" t="s">
        <v>454</v>
      </c>
      <c r="BF22" s="724">
        <f>BD22-BD86</f>
        <v>-0.74690093772543653</v>
      </c>
    </row>
    <row r="23" spans="1:58" s="4" customFormat="1" ht="13.5" customHeight="1" x14ac:dyDescent="0.3">
      <c r="A23" s="127" t="s">
        <v>24</v>
      </c>
      <c r="B23" s="131" t="s">
        <v>25</v>
      </c>
      <c r="C23" s="3"/>
      <c r="D23" s="203">
        <v>56744</v>
      </c>
      <c r="E23" s="202">
        <v>374490</v>
      </c>
      <c r="G23" s="192">
        <f t="shared" si="7"/>
        <v>317746</v>
      </c>
      <c r="H23" s="253">
        <f t="shared" si="8"/>
        <v>6.5996404906245596</v>
      </c>
      <c r="J23" s="203">
        <v>298434</v>
      </c>
      <c r="K23" s="202">
        <f t="shared" si="9"/>
        <v>76056</v>
      </c>
      <c r="L23" s="31"/>
      <c r="M23" s="31"/>
      <c r="N23" s="127" t="s">
        <v>24</v>
      </c>
      <c r="O23" s="131" t="s">
        <v>25</v>
      </c>
      <c r="Q23" s="316">
        <v>113488</v>
      </c>
      <c r="R23" s="336">
        <v>443099</v>
      </c>
      <c r="T23" s="19">
        <v>113488</v>
      </c>
      <c r="U23" s="343">
        <v>443099</v>
      </c>
      <c r="V23" s="349"/>
      <c r="W23" s="341">
        <v>113488</v>
      </c>
      <c r="X23" s="340">
        <v>443099</v>
      </c>
      <c r="Z23" s="127" t="s">
        <v>24</v>
      </c>
      <c r="AA23" s="131" t="s">
        <v>25</v>
      </c>
      <c r="AC23" s="203">
        <v>298434</v>
      </c>
      <c r="AD23" s="345">
        <f t="shared" si="0"/>
        <v>144665</v>
      </c>
      <c r="AF23" s="325">
        <v>636916.06917400262</v>
      </c>
      <c r="AG23" s="329">
        <v>480916.06917400268</v>
      </c>
      <c r="AH23" s="290">
        <v>156000</v>
      </c>
      <c r="AK23" s="127" t="s">
        <v>24</v>
      </c>
      <c r="AL23" s="131" t="s">
        <v>25</v>
      </c>
      <c r="AN23" s="553">
        <f t="shared" si="10"/>
        <v>329611</v>
      </c>
      <c r="AO23" s="439">
        <f t="shared" si="1"/>
        <v>3.904368743831947</v>
      </c>
      <c r="AP23" s="759">
        <f>AO23-AO86</f>
        <v>2.2079976770760217</v>
      </c>
      <c r="AR23" s="324">
        <f t="shared" si="11"/>
        <v>193817.06917400262</v>
      </c>
      <c r="AS23" s="439">
        <f t="shared" si="2"/>
        <v>1.4374125628223098</v>
      </c>
      <c r="AT23" s="756">
        <f>AS23-AS86</f>
        <v>0.22150202218157755</v>
      </c>
      <c r="AV23" s="324">
        <f t="shared" si="3"/>
        <v>523428.06917400262</v>
      </c>
      <c r="AW23" s="439">
        <f t="shared" si="4"/>
        <v>5.6121886822748008</v>
      </c>
      <c r="AX23" s="759">
        <f>AW23-AW86</f>
        <v>3.5495532213683081</v>
      </c>
      <c r="AZ23" s="127" t="s">
        <v>24</v>
      </c>
      <c r="BA23" s="131" t="s">
        <v>25</v>
      </c>
      <c r="BC23" s="220">
        <f t="shared" si="5"/>
        <v>42512</v>
      </c>
      <c r="BD23" s="439">
        <f t="shared" si="6"/>
        <v>1.3745946708021994</v>
      </c>
      <c r="BE23" s="570" t="s">
        <v>453</v>
      </c>
      <c r="BF23" s="545">
        <f>BD23-BD86</f>
        <v>0.59288114594334396</v>
      </c>
    </row>
    <row r="24" spans="1:58" s="4" customFormat="1" ht="13.5" customHeight="1" x14ac:dyDescent="0.3">
      <c r="A24" s="127" t="s">
        <v>26</v>
      </c>
      <c r="B24" s="131" t="s">
        <v>27</v>
      </c>
      <c r="C24" s="3"/>
      <c r="D24" s="203">
        <v>129543</v>
      </c>
      <c r="E24" s="202">
        <v>182113</v>
      </c>
      <c r="G24" s="192">
        <f t="shared" si="7"/>
        <v>52570</v>
      </c>
      <c r="H24" s="253">
        <f t="shared" si="8"/>
        <v>1.4058111978262045</v>
      </c>
      <c r="J24" s="203">
        <v>164412</v>
      </c>
      <c r="K24" s="202">
        <f t="shared" si="9"/>
        <v>17701</v>
      </c>
      <c r="L24" s="31"/>
      <c r="M24" s="31"/>
      <c r="N24" s="127" t="s">
        <v>26</v>
      </c>
      <c r="O24" s="131" t="s">
        <v>27</v>
      </c>
      <c r="Q24" s="317">
        <v>129543.03999999999</v>
      </c>
      <c r="R24" s="336">
        <v>255332.06</v>
      </c>
      <c r="T24" s="19">
        <v>129543.03999999999</v>
      </c>
      <c r="U24" s="343">
        <v>255332.06</v>
      </c>
      <c r="V24" s="349"/>
      <c r="W24" s="341">
        <v>156002.01999999999</v>
      </c>
      <c r="X24" s="340">
        <v>283221.03999999998</v>
      </c>
      <c r="Z24" s="127" t="s">
        <v>26</v>
      </c>
      <c r="AA24" s="131" t="s">
        <v>27</v>
      </c>
      <c r="AC24" s="203">
        <v>164412</v>
      </c>
      <c r="AD24" s="345">
        <f t="shared" si="0"/>
        <v>90920.06</v>
      </c>
      <c r="AF24" s="325">
        <v>395306.88922062767</v>
      </c>
      <c r="AG24" s="329">
        <v>247707.88922062767</v>
      </c>
      <c r="AH24" s="290">
        <v>147599</v>
      </c>
      <c r="AK24" s="127" t="s">
        <v>26</v>
      </c>
      <c r="AL24" s="131" t="s">
        <v>27</v>
      </c>
      <c r="AN24" s="553">
        <f t="shared" si="10"/>
        <v>125789.02</v>
      </c>
      <c r="AO24" s="439">
        <f t="shared" si="1"/>
        <v>1.9710210598732283</v>
      </c>
      <c r="AP24" s="756">
        <f>AO24-AO86</f>
        <v>0.27464999311730298</v>
      </c>
      <c r="AR24" s="324">
        <f t="shared" si="11"/>
        <v>139974.82922062767</v>
      </c>
      <c r="AS24" s="439">
        <f t="shared" si="2"/>
        <v>1.5482070258651721</v>
      </c>
      <c r="AT24" s="756">
        <f>AS24-AS86</f>
        <v>0.33229648522443989</v>
      </c>
      <c r="AV24" s="324">
        <f t="shared" si="3"/>
        <v>265763.84922062769</v>
      </c>
      <c r="AW24" s="439">
        <f t="shared" si="4"/>
        <v>3.05154865302395</v>
      </c>
      <c r="AX24" s="759">
        <f>AW24-AW86</f>
        <v>0.98891319211745721</v>
      </c>
      <c r="AZ24" s="127" t="s">
        <v>26</v>
      </c>
      <c r="BA24" s="131" t="s">
        <v>27</v>
      </c>
      <c r="BC24" s="220">
        <f t="shared" si="5"/>
        <v>18055.960000000006</v>
      </c>
      <c r="BD24" s="439">
        <f t="shared" si="6"/>
        <v>1.1393819382345822</v>
      </c>
      <c r="BE24" s="719" t="s">
        <v>450</v>
      </c>
      <c r="BF24" s="545">
        <f>BD24-BD86</f>
        <v>0.35766841337572675</v>
      </c>
    </row>
    <row r="25" spans="1:58" s="4" customFormat="1" ht="13.5" customHeight="1" x14ac:dyDescent="0.3">
      <c r="A25" s="127" t="s">
        <v>26</v>
      </c>
      <c r="B25" s="131" t="s">
        <v>28</v>
      </c>
      <c r="C25" s="3"/>
      <c r="D25" s="203">
        <v>70858</v>
      </c>
      <c r="E25" s="202">
        <v>400445</v>
      </c>
      <c r="G25" s="192">
        <f t="shared" si="7"/>
        <v>329587</v>
      </c>
      <c r="H25" s="253">
        <f t="shared" si="8"/>
        <v>5.6513731688729569</v>
      </c>
      <c r="J25" s="203">
        <v>433205</v>
      </c>
      <c r="K25" s="202">
        <f t="shared" si="9"/>
        <v>-32760</v>
      </c>
      <c r="L25" s="31"/>
      <c r="M25" s="31"/>
      <c r="N25" s="127" t="s">
        <v>26</v>
      </c>
      <c r="O25" s="131" t="s">
        <v>28</v>
      </c>
      <c r="Q25" s="316">
        <v>130925</v>
      </c>
      <c r="R25" s="336">
        <v>484312</v>
      </c>
      <c r="T25" s="321">
        <v>130925</v>
      </c>
      <c r="U25" s="343">
        <v>484312</v>
      </c>
      <c r="V25" s="349"/>
      <c r="W25" s="341">
        <v>130925</v>
      </c>
      <c r="X25" s="340">
        <v>484312</v>
      </c>
      <c r="Z25" s="127" t="s">
        <v>26</v>
      </c>
      <c r="AA25" s="131" t="s">
        <v>28</v>
      </c>
      <c r="AC25" s="203">
        <v>433205</v>
      </c>
      <c r="AD25" s="345">
        <f t="shared" si="0"/>
        <v>51107</v>
      </c>
      <c r="AF25" s="325">
        <v>876188.60556343663</v>
      </c>
      <c r="AG25" s="329">
        <v>624761.60556343663</v>
      </c>
      <c r="AH25" s="290">
        <v>251427</v>
      </c>
      <c r="AK25" s="127" t="s">
        <v>26</v>
      </c>
      <c r="AL25" s="131" t="s">
        <v>28</v>
      </c>
      <c r="AN25" s="553">
        <f t="shared" si="10"/>
        <v>353387</v>
      </c>
      <c r="AO25" s="439">
        <f t="shared" si="1"/>
        <v>3.6991560053465724</v>
      </c>
      <c r="AP25" s="759">
        <f>AO25-AO86</f>
        <v>2.0027849385906471</v>
      </c>
      <c r="AR25" s="324">
        <f t="shared" si="11"/>
        <v>391876.60556343663</v>
      </c>
      <c r="AS25" s="439">
        <f t="shared" si="2"/>
        <v>1.8091408132844873</v>
      </c>
      <c r="AT25" s="757">
        <f>AS25-AS86</f>
        <v>0.59323027264375505</v>
      </c>
      <c r="AV25" s="324">
        <f t="shared" si="3"/>
        <v>745263.60556343663</v>
      </c>
      <c r="AW25" s="439">
        <f t="shared" si="4"/>
        <v>6.6922941039788935</v>
      </c>
      <c r="AX25" s="759">
        <f>AW25-AW86</f>
        <v>4.6296586430724007</v>
      </c>
      <c r="AZ25" s="127" t="s">
        <v>26</v>
      </c>
      <c r="BA25" s="131" t="s">
        <v>28</v>
      </c>
      <c r="BC25" s="220">
        <f t="shared" si="5"/>
        <v>120502</v>
      </c>
      <c r="BD25" s="439">
        <f t="shared" si="6"/>
        <v>1.9203895359938896</v>
      </c>
      <c r="BE25" s="570" t="s">
        <v>453</v>
      </c>
      <c r="BF25" s="545">
        <f>BD25-BD86</f>
        <v>1.138676011135034</v>
      </c>
    </row>
    <row r="26" spans="1:58" s="4" customFormat="1" ht="13.5" customHeight="1" x14ac:dyDescent="0.3">
      <c r="A26" s="127" t="s">
        <v>26</v>
      </c>
      <c r="B26" s="131" t="s">
        <v>29</v>
      </c>
      <c r="C26" s="3"/>
      <c r="D26" s="203">
        <v>306370</v>
      </c>
      <c r="E26" s="202">
        <v>1249580</v>
      </c>
      <c r="G26" s="192">
        <f t="shared" si="7"/>
        <v>943210</v>
      </c>
      <c r="H26" s="253">
        <f t="shared" si="8"/>
        <v>4.0786630544766131</v>
      </c>
      <c r="J26" s="203">
        <v>1216304</v>
      </c>
      <c r="K26" s="202">
        <f t="shared" si="9"/>
        <v>33276</v>
      </c>
      <c r="L26" s="31"/>
      <c r="M26" s="31"/>
      <c r="N26" s="127" t="s">
        <v>26</v>
      </c>
      <c r="O26" s="131" t="s">
        <v>29</v>
      </c>
      <c r="Q26" s="316">
        <v>1994321</v>
      </c>
      <c r="R26" s="336">
        <v>1756520</v>
      </c>
      <c r="T26" s="321">
        <v>1994321</v>
      </c>
      <c r="U26" s="343">
        <v>1756520</v>
      </c>
      <c r="V26" s="349"/>
      <c r="W26" s="341">
        <v>1417685.9500000002</v>
      </c>
      <c r="X26" s="340">
        <v>1756520</v>
      </c>
      <c r="Z26" s="127" t="s">
        <v>26</v>
      </c>
      <c r="AA26" s="131" t="s">
        <v>29</v>
      </c>
      <c r="AC26" s="203">
        <v>1216304</v>
      </c>
      <c r="AD26" s="345">
        <f t="shared" si="0"/>
        <v>540216</v>
      </c>
      <c r="AF26" s="325">
        <v>2821866.2230054289</v>
      </c>
      <c r="AG26" s="329">
        <v>1773959.2230054287</v>
      </c>
      <c r="AH26" s="290">
        <v>1047907</v>
      </c>
      <c r="AK26" s="127" t="s">
        <v>26</v>
      </c>
      <c r="AL26" s="131" t="s">
        <v>29</v>
      </c>
      <c r="AN26" s="553">
        <f t="shared" si="10"/>
        <v>-237801</v>
      </c>
      <c r="AO26" s="439">
        <f t="shared" si="1"/>
        <v>0.88076092063414069</v>
      </c>
      <c r="AP26" s="764">
        <f>AO26-AO86</f>
        <v>-0.81561014612178462</v>
      </c>
      <c r="AR26" s="324">
        <f t="shared" si="11"/>
        <v>1065346.2230054289</v>
      </c>
      <c r="AS26" s="439">
        <f t="shared" si="2"/>
        <v>1.6065095888492182</v>
      </c>
      <c r="AT26" s="756">
        <f>AS26-AS86</f>
        <v>0.39059904820848601</v>
      </c>
      <c r="AV26" s="324">
        <f t="shared" si="3"/>
        <v>827545.22300542891</v>
      </c>
      <c r="AW26" s="439">
        <f t="shared" si="4"/>
        <v>1.4149508644824123</v>
      </c>
      <c r="AX26" s="764">
        <f>AW26-AW86</f>
        <v>-0.64768459642408049</v>
      </c>
      <c r="AZ26" s="127" t="s">
        <v>26</v>
      </c>
      <c r="BA26" s="131" t="s">
        <v>29</v>
      </c>
      <c r="BC26" s="220">
        <f t="shared" si="5"/>
        <v>-946414</v>
      </c>
      <c r="BD26" s="439">
        <f t="shared" si="6"/>
        <v>0.52544550250436117</v>
      </c>
      <c r="BE26" s="721" t="s">
        <v>454</v>
      </c>
      <c r="BF26" s="709">
        <f>BD26-BD86</f>
        <v>-0.25626802235449431</v>
      </c>
    </row>
    <row r="27" spans="1:58" s="4" customFormat="1" ht="13.5" customHeight="1" x14ac:dyDescent="0.3">
      <c r="A27" s="127" t="s">
        <v>26</v>
      </c>
      <c r="B27" s="131" t="s">
        <v>30</v>
      </c>
      <c r="C27" s="3"/>
      <c r="D27" s="203">
        <v>135960</v>
      </c>
      <c r="E27" s="202">
        <v>436546</v>
      </c>
      <c r="G27" s="192">
        <f t="shared" si="7"/>
        <v>300586</v>
      </c>
      <c r="H27" s="253">
        <f t="shared" si="8"/>
        <v>3.2108414239482199</v>
      </c>
      <c r="J27" s="203">
        <v>348884</v>
      </c>
      <c r="K27" s="202">
        <f t="shared" si="9"/>
        <v>87662</v>
      </c>
      <c r="L27" s="31"/>
      <c r="M27" s="31"/>
      <c r="N27" s="127" t="s">
        <v>26</v>
      </c>
      <c r="O27" s="131" t="s">
        <v>30</v>
      </c>
      <c r="Q27" s="317">
        <v>275745</v>
      </c>
      <c r="R27" s="335">
        <v>589278</v>
      </c>
      <c r="T27" s="320">
        <v>275745</v>
      </c>
      <c r="U27" s="342">
        <v>589278</v>
      </c>
      <c r="V27" s="348"/>
      <c r="W27" s="338">
        <v>275745</v>
      </c>
      <c r="X27" s="340">
        <v>589278</v>
      </c>
      <c r="Z27" s="127" t="s">
        <v>26</v>
      </c>
      <c r="AA27" s="131" t="s">
        <v>30</v>
      </c>
      <c r="AC27" s="203">
        <v>348884</v>
      </c>
      <c r="AD27" s="345">
        <f t="shared" si="0"/>
        <v>240394</v>
      </c>
      <c r="AF27" s="325">
        <v>840000.16015839437</v>
      </c>
      <c r="AG27" s="329">
        <v>517193.16015839431</v>
      </c>
      <c r="AH27" s="290">
        <v>322807</v>
      </c>
      <c r="AK27" s="127" t="s">
        <v>26</v>
      </c>
      <c r="AL27" s="131" t="s">
        <v>30</v>
      </c>
      <c r="AN27" s="553">
        <f t="shared" si="10"/>
        <v>313533</v>
      </c>
      <c r="AO27" s="439">
        <f t="shared" si="1"/>
        <v>2.1370396562041014</v>
      </c>
      <c r="AP27" s="757">
        <f>AO27-AO86</f>
        <v>0.44066858944817611</v>
      </c>
      <c r="AR27" s="324">
        <f t="shared" si="11"/>
        <v>250722.16015839437</v>
      </c>
      <c r="AS27" s="439">
        <f t="shared" si="2"/>
        <v>1.4254734779821991</v>
      </c>
      <c r="AT27" s="756">
        <f>AS27-AS86</f>
        <v>0.20956293734146691</v>
      </c>
      <c r="AV27" s="324">
        <f t="shared" si="3"/>
        <v>564255.16015839437</v>
      </c>
      <c r="AW27" s="439">
        <f t="shared" si="4"/>
        <v>3.046293351315144</v>
      </c>
      <c r="AX27" s="759">
        <f>AW27-AW86</f>
        <v>0.98365789040865126</v>
      </c>
      <c r="AZ27" s="127" t="s">
        <v>26</v>
      </c>
      <c r="BA27" s="131" t="s">
        <v>30</v>
      </c>
      <c r="BC27" s="220">
        <f t="shared" si="5"/>
        <v>47062</v>
      </c>
      <c r="BD27" s="439">
        <f t="shared" si="6"/>
        <v>1.1706721790059658</v>
      </c>
      <c r="BE27" s="719" t="s">
        <v>450</v>
      </c>
      <c r="BF27" s="545">
        <f>BD27-BD86</f>
        <v>0.38895865414711028</v>
      </c>
    </row>
    <row r="28" spans="1:58" s="4" customFormat="1" ht="13.5" customHeight="1" x14ac:dyDescent="0.3">
      <c r="A28" s="127" t="s">
        <v>26</v>
      </c>
      <c r="B28" s="131" t="s">
        <v>31</v>
      </c>
      <c r="C28" s="3"/>
      <c r="D28" s="203">
        <v>1300000</v>
      </c>
      <c r="E28" s="202">
        <v>2400000</v>
      </c>
      <c r="G28" s="192">
        <f t="shared" si="7"/>
        <v>1100000</v>
      </c>
      <c r="H28" s="253">
        <f t="shared" si="8"/>
        <v>1.8461538461538463</v>
      </c>
      <c r="J28" s="203">
        <v>1951966</v>
      </c>
      <c r="K28" s="202">
        <f t="shared" si="9"/>
        <v>448034</v>
      </c>
      <c r="L28" s="31"/>
      <c r="M28" s="31"/>
      <c r="N28" s="127" t="s">
        <v>26</v>
      </c>
      <c r="O28" s="131" t="s">
        <v>31</v>
      </c>
      <c r="Q28" s="317">
        <v>2483695.3899999997</v>
      </c>
      <c r="R28" s="335">
        <v>3293422.44</v>
      </c>
      <c r="T28" s="320">
        <v>2374751.59</v>
      </c>
      <c r="U28" s="342">
        <v>3293422.44</v>
      </c>
      <c r="V28" s="348"/>
      <c r="W28" s="338">
        <v>1594173.6600000001</v>
      </c>
      <c r="X28" s="340">
        <v>2284887.1199999996</v>
      </c>
      <c r="Z28" s="127" t="s">
        <v>26</v>
      </c>
      <c r="AA28" s="131" t="s">
        <v>31</v>
      </c>
      <c r="AC28" s="203">
        <v>1951966</v>
      </c>
      <c r="AD28" s="345">
        <f t="shared" si="0"/>
        <v>1341456.44</v>
      </c>
      <c r="AF28" s="325">
        <v>4183331.7056990052</v>
      </c>
      <c r="AG28" s="329">
        <v>2683331.7056990052</v>
      </c>
      <c r="AH28" s="290">
        <v>1500000</v>
      </c>
      <c r="AK28" s="127" t="s">
        <v>26</v>
      </c>
      <c r="AL28" s="131" t="s">
        <v>31</v>
      </c>
      <c r="AN28" s="553">
        <f t="shared" si="10"/>
        <v>918670.85000000009</v>
      </c>
      <c r="AO28" s="439">
        <f t="shared" si="1"/>
        <v>1.386849240934712</v>
      </c>
      <c r="AP28" s="762">
        <f>AO28-AO86</f>
        <v>-0.30952182582121335</v>
      </c>
      <c r="AR28" s="324">
        <f t="shared" si="11"/>
        <v>889909.26569900522</v>
      </c>
      <c r="AS28" s="439">
        <f t="shared" si="2"/>
        <v>1.2702080531457742</v>
      </c>
      <c r="AT28" s="755">
        <f>AS28-AS86</f>
        <v>5.4297512505042E-2</v>
      </c>
      <c r="AV28" s="324">
        <f t="shared" si="3"/>
        <v>1808580.1156990053</v>
      </c>
      <c r="AW28" s="439">
        <f t="shared" si="4"/>
        <v>1.7615870743343751</v>
      </c>
      <c r="AX28" s="762">
        <f>AW28-AW86</f>
        <v>-0.30104838657211763</v>
      </c>
      <c r="AZ28" s="127" t="s">
        <v>26</v>
      </c>
      <c r="BA28" s="131" t="s">
        <v>31</v>
      </c>
      <c r="BC28" s="220">
        <f t="shared" si="5"/>
        <v>-874751.58999999985</v>
      </c>
      <c r="BD28" s="439">
        <f t="shared" si="6"/>
        <v>0.6316450134474908</v>
      </c>
      <c r="BE28" s="721" t="s">
        <v>454</v>
      </c>
      <c r="BF28" s="707">
        <f>BD28-BD86</f>
        <v>-0.15006851141136468</v>
      </c>
    </row>
    <row r="29" spans="1:58" s="4" customFormat="1" ht="13.5" customHeight="1" x14ac:dyDescent="0.3">
      <c r="A29" s="127" t="s">
        <v>26</v>
      </c>
      <c r="B29" s="131" t="s">
        <v>32</v>
      </c>
      <c r="C29" s="3"/>
      <c r="D29" s="203">
        <v>39220</v>
      </c>
      <c r="E29" s="202">
        <v>124213</v>
      </c>
      <c r="G29" s="192">
        <f t="shared" si="7"/>
        <v>84993</v>
      </c>
      <c r="H29" s="253">
        <f t="shared" si="8"/>
        <v>3.1670831208567058</v>
      </c>
      <c r="J29" s="203">
        <v>171822</v>
      </c>
      <c r="K29" s="202">
        <f t="shared" si="9"/>
        <v>-47609</v>
      </c>
      <c r="L29" s="31"/>
      <c r="M29" s="31"/>
      <c r="N29" s="127" t="s">
        <v>26</v>
      </c>
      <c r="O29" s="131" t="s">
        <v>32</v>
      </c>
      <c r="Q29" s="317">
        <v>67657.87000000001</v>
      </c>
      <c r="R29" s="335">
        <v>167284.34</v>
      </c>
      <c r="T29" s="320">
        <v>67657.87000000001</v>
      </c>
      <c r="U29" s="342">
        <v>167284.34</v>
      </c>
      <c r="V29" s="348"/>
      <c r="W29" s="338">
        <v>68187.87000000001</v>
      </c>
      <c r="X29" s="340">
        <v>170951.54</v>
      </c>
      <c r="Z29" s="127" t="s">
        <v>26</v>
      </c>
      <c r="AA29" s="131" t="s">
        <v>32</v>
      </c>
      <c r="AC29" s="203">
        <v>171822</v>
      </c>
      <c r="AD29" s="345">
        <f t="shared" si="0"/>
        <v>-4537.6600000000035</v>
      </c>
      <c r="AF29" s="325">
        <v>277999.61919317499</v>
      </c>
      <c r="AG29" s="329">
        <v>249723.61919317502</v>
      </c>
      <c r="AH29" s="290">
        <v>28276</v>
      </c>
      <c r="AK29" s="127" t="s">
        <v>26</v>
      </c>
      <c r="AL29" s="131" t="s">
        <v>32</v>
      </c>
      <c r="AN29" s="553">
        <f t="shared" si="10"/>
        <v>99626.469999999987</v>
      </c>
      <c r="AO29" s="439">
        <f t="shared" si="1"/>
        <v>2.4725037900247226</v>
      </c>
      <c r="AP29" s="759">
        <f>AO29-AO86</f>
        <v>0.77613272326879734</v>
      </c>
      <c r="AR29" s="324">
        <f t="shared" si="11"/>
        <v>110715.279193175</v>
      </c>
      <c r="AS29" s="439">
        <f t="shared" si="2"/>
        <v>1.6618388738191214</v>
      </c>
      <c r="AT29" s="757">
        <f>AS29-AS86</f>
        <v>0.4459283331783892</v>
      </c>
      <c r="AV29" s="324">
        <f t="shared" si="3"/>
        <v>210341.749193175</v>
      </c>
      <c r="AW29" s="439">
        <f t="shared" si="4"/>
        <v>4.1089029139281941</v>
      </c>
      <c r="AX29" s="759">
        <f>AW29-AW86</f>
        <v>2.0462674530217013</v>
      </c>
      <c r="AZ29" s="127" t="s">
        <v>26</v>
      </c>
      <c r="BA29" s="131" t="s">
        <v>32</v>
      </c>
      <c r="BC29" s="220">
        <f t="shared" si="5"/>
        <v>-39381.87000000001</v>
      </c>
      <c r="BD29" s="439">
        <f t="shared" si="6"/>
        <v>0.41792625159497332</v>
      </c>
      <c r="BE29" s="721" t="s">
        <v>454</v>
      </c>
      <c r="BF29" s="724">
        <f>BD29-BD86</f>
        <v>-0.36378727326388216</v>
      </c>
    </row>
    <row r="30" spans="1:58" s="4" customFormat="1" ht="13.5" customHeight="1" x14ac:dyDescent="0.3">
      <c r="A30" s="127" t="s">
        <v>26</v>
      </c>
      <c r="B30" s="131" t="s">
        <v>33</v>
      </c>
      <c r="C30" s="3"/>
      <c r="D30" s="203">
        <v>12021</v>
      </c>
      <c r="E30" s="202">
        <v>301987</v>
      </c>
      <c r="G30" s="192">
        <f t="shared" si="7"/>
        <v>289966</v>
      </c>
      <c r="H30" s="253">
        <f t="shared" si="8"/>
        <v>25.121620497462775</v>
      </c>
      <c r="J30" s="203">
        <v>494471</v>
      </c>
      <c r="K30" s="202">
        <f t="shared" si="9"/>
        <v>-192484</v>
      </c>
      <c r="L30" s="31"/>
      <c r="M30" s="31"/>
      <c r="N30" s="127" t="s">
        <v>26</v>
      </c>
      <c r="O30" s="131" t="s">
        <v>33</v>
      </c>
      <c r="Q30" s="316">
        <v>29576</v>
      </c>
      <c r="R30" s="336">
        <v>315536</v>
      </c>
      <c r="T30" s="321">
        <v>29576</v>
      </c>
      <c r="U30" s="343">
        <v>315536</v>
      </c>
      <c r="V30" s="349"/>
      <c r="W30" s="341">
        <v>91100.98000000001</v>
      </c>
      <c r="X30" s="340">
        <v>375848.29000000004</v>
      </c>
      <c r="Z30" s="127" t="s">
        <v>26</v>
      </c>
      <c r="AA30" s="131" t="s">
        <v>33</v>
      </c>
      <c r="AC30" s="203">
        <v>494471</v>
      </c>
      <c r="AD30" s="345">
        <f t="shared" si="0"/>
        <v>-178935</v>
      </c>
      <c r="AF30" s="325">
        <v>810705.38252010278</v>
      </c>
      <c r="AG30" s="329">
        <v>733723.38252010278</v>
      </c>
      <c r="AH30" s="290">
        <v>76982</v>
      </c>
      <c r="AK30" s="127" t="s">
        <v>26</v>
      </c>
      <c r="AL30" s="131" t="s">
        <v>33</v>
      </c>
      <c r="AN30" s="553">
        <f t="shared" si="10"/>
        <v>285960</v>
      </c>
      <c r="AO30" s="439">
        <f t="shared" si="1"/>
        <v>10.668650256965106</v>
      </c>
      <c r="AP30" s="759">
        <f>AO30-AO86</f>
        <v>8.9722791902091821</v>
      </c>
      <c r="AR30" s="324">
        <f t="shared" si="11"/>
        <v>495169.38252010278</v>
      </c>
      <c r="AS30" s="439">
        <f t="shared" si="2"/>
        <v>2.569295999569313</v>
      </c>
      <c r="AT30" s="759">
        <f>AS30-AS86</f>
        <v>1.3533854589285808</v>
      </c>
      <c r="AV30" s="324">
        <f t="shared" si="3"/>
        <v>781129.38252010278</v>
      </c>
      <c r="AW30" s="439">
        <f t="shared" si="4"/>
        <v>27.410920426024575</v>
      </c>
      <c r="AX30" s="759">
        <f>AW30-AW86</f>
        <v>25.348284965118083</v>
      </c>
      <c r="AZ30" s="127" t="s">
        <v>26</v>
      </c>
      <c r="BA30" s="131" t="s">
        <v>33</v>
      </c>
      <c r="BC30" s="220">
        <f t="shared" si="5"/>
        <v>47406</v>
      </c>
      <c r="BD30" s="439">
        <f t="shared" si="6"/>
        <v>2.6028536651338925</v>
      </c>
      <c r="BE30" s="570" t="s">
        <v>453</v>
      </c>
      <c r="BF30" s="545">
        <f>BD30-BD86</f>
        <v>1.8211401402750371</v>
      </c>
    </row>
    <row r="31" spans="1:58" s="4" customFormat="1" ht="13.5" customHeight="1" x14ac:dyDescent="0.3">
      <c r="A31" s="127" t="s">
        <v>26</v>
      </c>
      <c r="B31" s="131" t="s">
        <v>34</v>
      </c>
      <c r="C31" s="3"/>
      <c r="D31" s="203">
        <v>65935</v>
      </c>
      <c r="E31" s="202">
        <v>143205</v>
      </c>
      <c r="G31" s="192">
        <f t="shared" si="7"/>
        <v>77270</v>
      </c>
      <c r="H31" s="253">
        <f t="shared" si="8"/>
        <v>2.1719117312504741</v>
      </c>
      <c r="J31" s="203">
        <v>149685</v>
      </c>
      <c r="K31" s="202">
        <f t="shared" si="9"/>
        <v>-6480</v>
      </c>
      <c r="L31" s="31"/>
      <c r="M31" s="31"/>
      <c r="N31" s="127" t="s">
        <v>26</v>
      </c>
      <c r="O31" s="131" t="s">
        <v>34</v>
      </c>
      <c r="Q31" s="317">
        <v>65935.26999999999</v>
      </c>
      <c r="R31" s="335">
        <v>183389.77</v>
      </c>
      <c r="T31" s="320">
        <v>65935.26999999999</v>
      </c>
      <c r="U31" s="342">
        <v>183389.77</v>
      </c>
      <c r="V31" s="348"/>
      <c r="W31" s="338">
        <v>65935.26999999999</v>
      </c>
      <c r="X31" s="340">
        <v>183389.77</v>
      </c>
      <c r="Z31" s="127" t="s">
        <v>26</v>
      </c>
      <c r="AA31" s="131" t="s">
        <v>34</v>
      </c>
      <c r="AC31" s="203">
        <v>149685</v>
      </c>
      <c r="AD31" s="345">
        <f t="shared" si="0"/>
        <v>33704.76999999999</v>
      </c>
      <c r="AF31" s="325">
        <v>291663.92206452007</v>
      </c>
      <c r="AG31" s="329">
        <v>236663.92206452007</v>
      </c>
      <c r="AH31" s="290">
        <v>55000</v>
      </c>
      <c r="AK31" s="127" t="s">
        <v>26</v>
      </c>
      <c r="AL31" s="131" t="s">
        <v>34</v>
      </c>
      <c r="AN31" s="553">
        <f t="shared" si="10"/>
        <v>117454.5</v>
      </c>
      <c r="AO31" s="439">
        <f t="shared" si="1"/>
        <v>2.7813607193843297</v>
      </c>
      <c r="AP31" s="759">
        <f>AO31-AO86</f>
        <v>1.0849896526284044</v>
      </c>
      <c r="AR31" s="324">
        <f t="shared" si="11"/>
        <v>108274.15206452008</v>
      </c>
      <c r="AS31" s="439">
        <f t="shared" si="2"/>
        <v>1.5904045360028538</v>
      </c>
      <c r="AT31" s="756">
        <f>AS31-AS86</f>
        <v>0.37449399536212158</v>
      </c>
      <c r="AV31" s="324">
        <f t="shared" si="3"/>
        <v>225728.65206452008</v>
      </c>
      <c r="AW31" s="439">
        <f t="shared" si="4"/>
        <v>4.4234887043689985</v>
      </c>
      <c r="AX31" s="759">
        <f>AW31-AW86</f>
        <v>2.3608532434625058</v>
      </c>
      <c r="AZ31" s="127" t="s">
        <v>26</v>
      </c>
      <c r="BA31" s="131" t="s">
        <v>34</v>
      </c>
      <c r="BC31" s="220">
        <f t="shared" si="5"/>
        <v>-10935.26999999999</v>
      </c>
      <c r="BD31" s="439">
        <f t="shared" si="6"/>
        <v>0.83415143367123556</v>
      </c>
      <c r="BE31" s="569" t="s">
        <v>340</v>
      </c>
      <c r="BF31" s="704">
        <f>BD31-BD86</f>
        <v>5.2437908812380085E-2</v>
      </c>
    </row>
    <row r="32" spans="1:58" s="4" customFormat="1" ht="13.5" customHeight="1" x14ac:dyDescent="0.3">
      <c r="A32" s="127" t="s">
        <v>35</v>
      </c>
      <c r="B32" s="131" t="s">
        <v>36</v>
      </c>
      <c r="C32" s="3"/>
      <c r="D32" s="203">
        <v>231823</v>
      </c>
      <c r="E32" s="202">
        <v>771198</v>
      </c>
      <c r="G32" s="192">
        <f t="shared" si="7"/>
        <v>539375</v>
      </c>
      <c r="H32" s="253">
        <f t="shared" si="8"/>
        <v>3.3266673280908279</v>
      </c>
      <c r="J32" s="203">
        <v>444096</v>
      </c>
      <c r="K32" s="202">
        <f t="shared" si="9"/>
        <v>327102</v>
      </c>
      <c r="L32" s="31"/>
      <c r="M32" s="31"/>
      <c r="N32" s="127" t="s">
        <v>35</v>
      </c>
      <c r="O32" s="131" t="s">
        <v>36</v>
      </c>
      <c r="Q32" s="317">
        <v>452371.18</v>
      </c>
      <c r="R32" s="335">
        <v>1064824.74</v>
      </c>
      <c r="T32" s="19">
        <v>452371.18</v>
      </c>
      <c r="U32" s="342">
        <v>1064824.74</v>
      </c>
      <c r="V32" s="348"/>
      <c r="W32" s="338">
        <v>452371.18</v>
      </c>
      <c r="X32" s="340">
        <v>1064824.74</v>
      </c>
      <c r="Z32" s="127" t="s">
        <v>35</v>
      </c>
      <c r="AA32" s="131" t="s">
        <v>36</v>
      </c>
      <c r="AC32" s="203">
        <v>444096</v>
      </c>
      <c r="AD32" s="345">
        <f t="shared" si="0"/>
        <v>620728.74</v>
      </c>
      <c r="AF32" s="325">
        <v>1520000.1183966913</v>
      </c>
      <c r="AG32" s="329">
        <v>900862.11839669128</v>
      </c>
      <c r="AH32" s="290">
        <v>619138</v>
      </c>
      <c r="AK32" s="127" t="s">
        <v>35</v>
      </c>
      <c r="AL32" s="131" t="s">
        <v>36</v>
      </c>
      <c r="AN32" s="553">
        <f t="shared" si="10"/>
        <v>612453.56000000006</v>
      </c>
      <c r="AO32" s="439">
        <f t="shared" si="1"/>
        <v>2.3538739581067034</v>
      </c>
      <c r="AP32" s="759">
        <f>AO32-AO86</f>
        <v>0.65750289135077811</v>
      </c>
      <c r="AR32" s="324">
        <f t="shared" si="11"/>
        <v>455175.37839669129</v>
      </c>
      <c r="AS32" s="439">
        <f t="shared" si="2"/>
        <v>1.4274650665955519</v>
      </c>
      <c r="AT32" s="756">
        <f>AS32-AS86</f>
        <v>0.21155452595481972</v>
      </c>
      <c r="AV32" s="324">
        <f t="shared" si="3"/>
        <v>1067628.9383966913</v>
      </c>
      <c r="AW32" s="439">
        <f t="shared" si="4"/>
        <v>3.3600728463663208</v>
      </c>
      <c r="AX32" s="759">
        <f>AW32-AW86</f>
        <v>1.297437385459828</v>
      </c>
      <c r="AZ32" s="127" t="s">
        <v>35</v>
      </c>
      <c r="BA32" s="131" t="s">
        <v>36</v>
      </c>
      <c r="BC32" s="220">
        <f t="shared" si="5"/>
        <v>166766.82</v>
      </c>
      <c r="BD32" s="439">
        <f t="shared" si="6"/>
        <v>1.3686504078354418</v>
      </c>
      <c r="BE32" s="570" t="s">
        <v>453</v>
      </c>
      <c r="BF32" s="545">
        <f>BD32-BD86</f>
        <v>0.5869368829765863</v>
      </c>
    </row>
    <row r="33" spans="1:58" s="4" customFormat="1" ht="13.5" customHeight="1" x14ac:dyDescent="0.3">
      <c r="A33" s="127" t="s">
        <v>35</v>
      </c>
      <c r="B33" s="131" t="s">
        <v>37</v>
      </c>
      <c r="C33" s="3"/>
      <c r="D33" s="203">
        <v>129405</v>
      </c>
      <c r="E33" s="202">
        <v>294308</v>
      </c>
      <c r="G33" s="192">
        <f t="shared" si="7"/>
        <v>164903</v>
      </c>
      <c r="H33" s="253">
        <f t="shared" si="8"/>
        <v>2.2743170665739347</v>
      </c>
      <c r="J33" s="203">
        <v>213122</v>
      </c>
      <c r="K33" s="202">
        <f t="shared" si="9"/>
        <v>81186</v>
      </c>
      <c r="L33" s="31"/>
      <c r="M33" s="31"/>
      <c r="N33" s="127" t="s">
        <v>35</v>
      </c>
      <c r="O33" s="131" t="s">
        <v>37</v>
      </c>
      <c r="Q33" s="316">
        <v>235710.66</v>
      </c>
      <c r="R33" s="336">
        <v>461923.69</v>
      </c>
      <c r="T33" s="19">
        <v>235710.66</v>
      </c>
      <c r="U33" s="343">
        <v>461923.69</v>
      </c>
      <c r="V33" s="349"/>
      <c r="W33" s="341">
        <v>212287.9</v>
      </c>
      <c r="X33" s="340">
        <v>461923.69</v>
      </c>
      <c r="Z33" s="127" t="s">
        <v>35</v>
      </c>
      <c r="AA33" s="131" t="s">
        <v>37</v>
      </c>
      <c r="AC33" s="203">
        <v>213122</v>
      </c>
      <c r="AD33" s="345">
        <f t="shared" si="0"/>
        <v>248801.69</v>
      </c>
      <c r="AF33" s="325">
        <v>699999.887282804</v>
      </c>
      <c r="AG33" s="329">
        <v>384087.887282804</v>
      </c>
      <c r="AH33" s="290">
        <v>315912</v>
      </c>
      <c r="AK33" s="127" t="s">
        <v>35</v>
      </c>
      <c r="AL33" s="131" t="s">
        <v>37</v>
      </c>
      <c r="AN33" s="553">
        <f t="shared" si="10"/>
        <v>226213.03</v>
      </c>
      <c r="AO33" s="439">
        <f t="shared" si="1"/>
        <v>1.9597064044536636</v>
      </c>
      <c r="AP33" s="756">
        <f>AO33-AO86</f>
        <v>0.26333533769773831</v>
      </c>
      <c r="AR33" s="324">
        <f t="shared" si="11"/>
        <v>238076.197282804</v>
      </c>
      <c r="AS33" s="439">
        <f t="shared" si="2"/>
        <v>1.5154015748419485</v>
      </c>
      <c r="AT33" s="756">
        <f>AS33-AS86</f>
        <v>0.29949103420121626</v>
      </c>
      <c r="AV33" s="324">
        <f t="shared" si="3"/>
        <v>464289.22728280397</v>
      </c>
      <c r="AW33" s="439">
        <f t="shared" si="4"/>
        <v>2.9697421715369341</v>
      </c>
      <c r="AX33" s="759">
        <f>AW33-AW86</f>
        <v>0.90710671063044135</v>
      </c>
      <c r="AZ33" s="127" t="s">
        <v>35</v>
      </c>
      <c r="BA33" s="131" t="s">
        <v>37</v>
      </c>
      <c r="BC33" s="220">
        <f t="shared" si="5"/>
        <v>80201.34</v>
      </c>
      <c r="BD33" s="439">
        <f t="shared" si="6"/>
        <v>1.340253342805964</v>
      </c>
      <c r="BE33" s="570" t="s">
        <v>453</v>
      </c>
      <c r="BF33" s="545">
        <f>BD33-BD86</f>
        <v>0.5585398179471085</v>
      </c>
    </row>
    <row r="34" spans="1:58" s="4" customFormat="1" ht="13.5" customHeight="1" x14ac:dyDescent="0.3">
      <c r="A34" s="127" t="s">
        <v>35</v>
      </c>
      <c r="B34" s="131" t="s">
        <v>38</v>
      </c>
      <c r="C34" s="3"/>
      <c r="D34" s="203">
        <v>278002</v>
      </c>
      <c r="E34" s="202">
        <v>696563</v>
      </c>
      <c r="G34" s="192">
        <f t="shared" si="7"/>
        <v>418561</v>
      </c>
      <c r="H34" s="253">
        <f t="shared" si="8"/>
        <v>2.5056042762282287</v>
      </c>
      <c r="J34" s="203">
        <v>362863</v>
      </c>
      <c r="K34" s="202">
        <f t="shared" si="9"/>
        <v>333700</v>
      </c>
      <c r="L34" s="31"/>
      <c r="M34" s="31"/>
      <c r="N34" s="127" t="s">
        <v>35</v>
      </c>
      <c r="O34" s="131" t="s">
        <v>38</v>
      </c>
      <c r="Q34" s="316">
        <v>332818.59999999998</v>
      </c>
      <c r="R34" s="336">
        <v>969195.36</v>
      </c>
      <c r="T34" s="19">
        <v>332818.59999999998</v>
      </c>
      <c r="U34" s="343">
        <v>969195.36</v>
      </c>
      <c r="V34" s="349"/>
      <c r="W34" s="341">
        <v>337051.6</v>
      </c>
      <c r="X34" s="340">
        <v>969195.36</v>
      </c>
      <c r="Z34" s="127" t="s">
        <v>35</v>
      </c>
      <c r="AA34" s="131" t="s">
        <v>38</v>
      </c>
      <c r="AC34" s="203">
        <v>362863</v>
      </c>
      <c r="AD34" s="345">
        <f t="shared" si="0"/>
        <v>606332.36</v>
      </c>
      <c r="AF34" s="325">
        <v>1403438.0042211793</v>
      </c>
      <c r="AG34" s="329">
        <v>736398.00422117929</v>
      </c>
      <c r="AH34" s="290">
        <v>667040</v>
      </c>
      <c r="AK34" s="127" t="s">
        <v>35</v>
      </c>
      <c r="AL34" s="131" t="s">
        <v>38</v>
      </c>
      <c r="AN34" s="553">
        <f t="shared" si="10"/>
        <v>636376.76</v>
      </c>
      <c r="AO34" s="439">
        <f t="shared" si="1"/>
        <v>2.9120829184426591</v>
      </c>
      <c r="AP34" s="759">
        <f>AO34-AO86</f>
        <v>1.2157118516867338</v>
      </c>
      <c r="AR34" s="324">
        <f t="shared" si="11"/>
        <v>434242.6442211793</v>
      </c>
      <c r="AS34" s="439">
        <f t="shared" si="2"/>
        <v>1.4480444935489367</v>
      </c>
      <c r="AT34" s="756">
        <f>AS34-AS86</f>
        <v>0.23213395290820449</v>
      </c>
      <c r="AV34" s="324">
        <f t="shared" si="3"/>
        <v>1070619.4042211794</v>
      </c>
      <c r="AW34" s="439">
        <f t="shared" si="4"/>
        <v>4.21682563480881</v>
      </c>
      <c r="AX34" s="759">
        <f>AW34-AW86</f>
        <v>2.1541901739023173</v>
      </c>
      <c r="AZ34" s="127" t="s">
        <v>35</v>
      </c>
      <c r="BA34" s="131" t="s">
        <v>38</v>
      </c>
      <c r="BC34" s="220">
        <f t="shared" si="5"/>
        <v>334221.40000000002</v>
      </c>
      <c r="BD34" s="439">
        <f t="shared" si="6"/>
        <v>2.0042149086619561</v>
      </c>
      <c r="BE34" s="570" t="s">
        <v>453</v>
      </c>
      <c r="BF34" s="545">
        <f>BD34-BD86</f>
        <v>1.2225013838031007</v>
      </c>
    </row>
    <row r="35" spans="1:58" s="4" customFormat="1" ht="13.5" customHeight="1" x14ac:dyDescent="0.3">
      <c r="A35" s="127" t="s">
        <v>39</v>
      </c>
      <c r="B35" s="131" t="s">
        <v>40</v>
      </c>
      <c r="C35" s="3"/>
      <c r="D35" s="203">
        <v>169689</v>
      </c>
      <c r="E35" s="202">
        <v>490380</v>
      </c>
      <c r="G35" s="192">
        <f t="shared" si="7"/>
        <v>320691</v>
      </c>
      <c r="H35" s="253">
        <f t="shared" si="8"/>
        <v>2.8898750066297758</v>
      </c>
      <c r="J35" s="203">
        <v>278542</v>
      </c>
      <c r="K35" s="202">
        <f t="shared" si="9"/>
        <v>211838</v>
      </c>
      <c r="L35" s="31"/>
      <c r="M35" s="31"/>
      <c r="N35" s="127" t="s">
        <v>39</v>
      </c>
      <c r="O35" s="131" t="s">
        <v>40</v>
      </c>
      <c r="Q35" s="316">
        <v>318169.74</v>
      </c>
      <c r="R35" s="335">
        <v>713406.78</v>
      </c>
      <c r="T35" s="19">
        <v>318169.74</v>
      </c>
      <c r="U35" s="342">
        <v>713406.78</v>
      </c>
      <c r="V35" s="348"/>
      <c r="W35" s="338">
        <v>318169.74</v>
      </c>
      <c r="X35" s="340">
        <v>713406.78</v>
      </c>
      <c r="Z35" s="127" t="s">
        <v>39</v>
      </c>
      <c r="AA35" s="131" t="s">
        <v>40</v>
      </c>
      <c r="AC35" s="203">
        <v>278542</v>
      </c>
      <c r="AD35" s="345">
        <f t="shared" si="0"/>
        <v>434864.78</v>
      </c>
      <c r="AF35" s="325">
        <v>917000.29257015581</v>
      </c>
      <c r="AG35" s="329">
        <v>530254.29257015581</v>
      </c>
      <c r="AH35" s="290">
        <v>386746</v>
      </c>
      <c r="AK35" s="127" t="s">
        <v>39</v>
      </c>
      <c r="AL35" s="131" t="s">
        <v>40</v>
      </c>
      <c r="AN35" s="553">
        <f t="shared" si="10"/>
        <v>395237.04000000004</v>
      </c>
      <c r="AO35" s="439">
        <f t="shared" si="1"/>
        <v>2.2422207089838273</v>
      </c>
      <c r="AP35" s="757">
        <f>AO35-AO86</f>
        <v>0.545849642227902</v>
      </c>
      <c r="AR35" s="324">
        <f t="shared" si="11"/>
        <v>203593.51257015578</v>
      </c>
      <c r="AS35" s="439">
        <f t="shared" si="2"/>
        <v>1.2853820825338327</v>
      </c>
      <c r="AT35" s="755">
        <f>AS35-AS86</f>
        <v>6.9471541893100452E-2</v>
      </c>
      <c r="AV35" s="324">
        <f t="shared" si="3"/>
        <v>598830.55257015582</v>
      </c>
      <c r="AW35" s="439">
        <f t="shared" si="4"/>
        <v>2.8821103244141186</v>
      </c>
      <c r="AX35" s="759">
        <f>AW35-AW86</f>
        <v>0.81947486350762588</v>
      </c>
      <c r="AZ35" s="127" t="s">
        <v>39</v>
      </c>
      <c r="BA35" s="131" t="s">
        <v>40</v>
      </c>
      <c r="BC35" s="220">
        <f t="shared" si="5"/>
        <v>68576.260000000009</v>
      </c>
      <c r="BD35" s="439">
        <f t="shared" si="6"/>
        <v>1.2155335702257544</v>
      </c>
      <c r="BE35" s="720" t="s">
        <v>452</v>
      </c>
      <c r="BF35" s="545">
        <f>BD35-BD86</f>
        <v>0.43382004536689889</v>
      </c>
    </row>
    <row r="36" spans="1:58" s="4" customFormat="1" ht="13.5" customHeight="1" x14ac:dyDescent="0.3">
      <c r="A36" s="127" t="s">
        <v>39</v>
      </c>
      <c r="B36" s="131" t="s">
        <v>41</v>
      </c>
      <c r="C36" s="3"/>
      <c r="D36" s="203">
        <v>84529</v>
      </c>
      <c r="E36" s="202">
        <v>352342</v>
      </c>
      <c r="G36" s="192">
        <f t="shared" si="7"/>
        <v>267813</v>
      </c>
      <c r="H36" s="253">
        <f t="shared" si="8"/>
        <v>4.1682972707591475</v>
      </c>
      <c r="J36" s="203">
        <v>348547</v>
      </c>
      <c r="K36" s="202">
        <f t="shared" si="9"/>
        <v>3795</v>
      </c>
      <c r="L36" s="31"/>
      <c r="M36" s="31"/>
      <c r="N36" s="127" t="s">
        <v>39</v>
      </c>
      <c r="O36" s="131" t="s">
        <v>41</v>
      </c>
      <c r="Q36" s="317">
        <v>167376.26</v>
      </c>
      <c r="R36" s="335">
        <v>459181.55000000005</v>
      </c>
      <c r="T36" s="320">
        <v>167376.26</v>
      </c>
      <c r="U36" s="342">
        <v>459181.55000000005</v>
      </c>
      <c r="V36" s="348"/>
      <c r="W36" s="341">
        <v>167376.26</v>
      </c>
      <c r="X36" s="340">
        <v>459181.55</v>
      </c>
      <c r="Z36" s="127" t="s">
        <v>39</v>
      </c>
      <c r="AA36" s="131" t="s">
        <v>41</v>
      </c>
      <c r="AC36" s="203">
        <v>348547</v>
      </c>
      <c r="AD36" s="767">
        <f t="shared" si="0"/>
        <v>110634.55000000005</v>
      </c>
      <c r="AF36" s="325">
        <v>709999.78741767001</v>
      </c>
      <c r="AG36" s="329">
        <v>496114.78741766996</v>
      </c>
      <c r="AH36" s="290">
        <v>213885</v>
      </c>
      <c r="AK36" s="127" t="s">
        <v>39</v>
      </c>
      <c r="AL36" s="131" t="s">
        <v>41</v>
      </c>
      <c r="AN36" s="766">
        <f t="shared" si="10"/>
        <v>291805.29000000004</v>
      </c>
      <c r="AO36" s="765">
        <f t="shared" si="1"/>
        <v>2.7434090712745047</v>
      </c>
      <c r="AP36" s="759">
        <f>AO36-AO86</f>
        <v>1.0470380045185794</v>
      </c>
      <c r="AR36" s="325">
        <f t="shared" si="11"/>
        <v>250818.23741766997</v>
      </c>
      <c r="AS36" s="765">
        <f t="shared" si="2"/>
        <v>1.5462289097148392</v>
      </c>
      <c r="AT36" s="756">
        <f>AS36-AS86</f>
        <v>0.33031836907410694</v>
      </c>
      <c r="AV36" s="325">
        <f t="shared" si="3"/>
        <v>542623.52741767</v>
      </c>
      <c r="AW36" s="765">
        <f t="shared" si="4"/>
        <v>4.2419384171785772</v>
      </c>
      <c r="AX36" s="759">
        <f>AW36-AW86</f>
        <v>2.1793029562720845</v>
      </c>
      <c r="AZ36" s="127" t="s">
        <v>39</v>
      </c>
      <c r="BA36" s="131" t="s">
        <v>41</v>
      </c>
      <c r="BC36" s="203">
        <f t="shared" si="5"/>
        <v>46508.739999999991</v>
      </c>
      <c r="BD36" s="765">
        <f t="shared" si="6"/>
        <v>1.277869394381258</v>
      </c>
      <c r="BE36" s="769" t="s">
        <v>452</v>
      </c>
      <c r="BF36" s="545">
        <f>BD36-BD86</f>
        <v>0.49615586952240254</v>
      </c>
    </row>
    <row r="37" spans="1:58" s="4" customFormat="1" ht="13.5" customHeight="1" x14ac:dyDescent="0.3">
      <c r="A37" s="127" t="s">
        <v>39</v>
      </c>
      <c r="B37" s="131" t="s">
        <v>42</v>
      </c>
      <c r="C37" s="3"/>
      <c r="D37" s="203">
        <v>127605</v>
      </c>
      <c r="E37" s="202">
        <v>397300</v>
      </c>
      <c r="G37" s="192">
        <f t="shared" si="7"/>
        <v>269695</v>
      </c>
      <c r="H37" s="253">
        <f t="shared" si="8"/>
        <v>3.1135143607225424</v>
      </c>
      <c r="J37" s="203">
        <v>376991</v>
      </c>
      <c r="K37" s="202">
        <f t="shared" si="9"/>
        <v>20309</v>
      </c>
      <c r="L37" s="31"/>
      <c r="M37" s="31"/>
      <c r="N37" s="127" t="s">
        <v>39</v>
      </c>
      <c r="O37" s="131" t="s">
        <v>42</v>
      </c>
      <c r="Q37" s="316">
        <v>682440.15000000014</v>
      </c>
      <c r="R37" s="336">
        <v>1048280.3</v>
      </c>
      <c r="T37" s="321">
        <v>659611.53000000014</v>
      </c>
      <c r="U37" s="343">
        <v>1048280.3</v>
      </c>
      <c r="V37" s="349"/>
      <c r="W37" s="341">
        <v>231006.83</v>
      </c>
      <c r="X37" s="340">
        <v>459907.34</v>
      </c>
      <c r="Z37" s="127" t="s">
        <v>39</v>
      </c>
      <c r="AA37" s="131" t="s">
        <v>42</v>
      </c>
      <c r="AC37" s="203">
        <v>376991</v>
      </c>
      <c r="AD37" s="345">
        <f t="shared" si="0"/>
        <v>671289.3</v>
      </c>
      <c r="AF37" s="325">
        <v>600000.3926968188</v>
      </c>
      <c r="AG37" s="329">
        <v>535345.3926968188</v>
      </c>
      <c r="AH37" s="290">
        <v>64655</v>
      </c>
      <c r="AK37" s="127" t="s">
        <v>39</v>
      </c>
      <c r="AL37" s="131" t="s">
        <v>42</v>
      </c>
      <c r="AN37" s="553">
        <f t="shared" si="10"/>
        <v>388668.7699999999</v>
      </c>
      <c r="AO37" s="439">
        <f t="shared" si="1"/>
        <v>1.5892388964152884</v>
      </c>
      <c r="AP37" s="761">
        <f>AO37-AO86</f>
        <v>-0.10713217034063693</v>
      </c>
      <c r="AR37" s="324">
        <f t="shared" si="11"/>
        <v>-448279.90730318124</v>
      </c>
      <c r="AS37" s="439">
        <f t="shared" si="2"/>
        <v>0.57236637252156586</v>
      </c>
      <c r="AT37" s="764">
        <f>AS37-AS86</f>
        <v>-0.64354416811916637</v>
      </c>
      <c r="AV37" s="324">
        <f t="shared" si="3"/>
        <v>-59611.137303181342</v>
      </c>
      <c r="AW37" s="439">
        <f t="shared" si="4"/>
        <v>0.90962690221139508</v>
      </c>
      <c r="AX37" s="764">
        <f>AW37-AW86</f>
        <v>-1.1530085586950976</v>
      </c>
      <c r="AZ37" s="127" t="s">
        <v>39</v>
      </c>
      <c r="BA37" s="131" t="s">
        <v>42</v>
      </c>
      <c r="BC37" s="220">
        <f t="shared" si="5"/>
        <v>-594956.53000000014</v>
      </c>
      <c r="BD37" s="439">
        <f t="shared" si="6"/>
        <v>9.8019814784013837E-2</v>
      </c>
      <c r="BE37" s="721" t="s">
        <v>454</v>
      </c>
      <c r="BF37" s="724">
        <f>BD37-BD86</f>
        <v>-0.6836937100748417</v>
      </c>
    </row>
    <row r="38" spans="1:58" s="4" customFormat="1" ht="13.5" customHeight="1" x14ac:dyDescent="0.3">
      <c r="A38" s="127" t="s">
        <v>43</v>
      </c>
      <c r="B38" s="131" t="s">
        <v>44</v>
      </c>
      <c r="C38" s="3"/>
      <c r="D38" s="203">
        <v>122838</v>
      </c>
      <c r="E38" s="202">
        <v>411062</v>
      </c>
      <c r="G38" s="192">
        <f t="shared" si="7"/>
        <v>288224</v>
      </c>
      <c r="H38" s="253">
        <f t="shared" si="8"/>
        <v>3.3463749002751593</v>
      </c>
      <c r="J38" s="203">
        <v>473943</v>
      </c>
      <c r="K38" s="202">
        <f t="shared" si="9"/>
        <v>-62881</v>
      </c>
      <c r="L38" s="31"/>
      <c r="M38" s="31"/>
      <c r="N38" s="127" t="s">
        <v>43</v>
      </c>
      <c r="O38" s="131" t="s">
        <v>44</v>
      </c>
      <c r="Q38" s="316">
        <v>228482.99000000005</v>
      </c>
      <c r="R38" s="336">
        <v>562280.49</v>
      </c>
      <c r="T38" s="321">
        <v>228482.99000000005</v>
      </c>
      <c r="U38" s="343">
        <v>562280.49</v>
      </c>
      <c r="V38" s="349"/>
      <c r="W38" s="341">
        <v>228985.43000000002</v>
      </c>
      <c r="X38" s="340">
        <v>562782.92999999993</v>
      </c>
      <c r="Z38" s="127" t="s">
        <v>43</v>
      </c>
      <c r="AA38" s="131" t="s">
        <v>44</v>
      </c>
      <c r="AC38" s="203">
        <v>473943</v>
      </c>
      <c r="AD38" s="345">
        <f t="shared" si="0"/>
        <v>88337.489999999991</v>
      </c>
      <c r="AF38" s="325">
        <v>834999.96296541661</v>
      </c>
      <c r="AG38" s="329">
        <v>666145.96296541661</v>
      </c>
      <c r="AH38" s="290">
        <v>168854</v>
      </c>
      <c r="AK38" s="127" t="s">
        <v>43</v>
      </c>
      <c r="AL38" s="131" t="s">
        <v>44</v>
      </c>
      <c r="AN38" s="553">
        <f t="shared" si="10"/>
        <v>333797.49999999994</v>
      </c>
      <c r="AO38" s="439">
        <f t="shared" si="1"/>
        <v>2.4609293234476661</v>
      </c>
      <c r="AP38" s="759">
        <f>AO38-AO86</f>
        <v>0.76455825669174082</v>
      </c>
      <c r="AR38" s="324">
        <f t="shared" si="11"/>
        <v>272719.47296541661</v>
      </c>
      <c r="AS38" s="439">
        <f t="shared" si="2"/>
        <v>1.4850238943297083</v>
      </c>
      <c r="AT38" s="756">
        <f>AS38-AS86</f>
        <v>0.26911335368897604</v>
      </c>
      <c r="AV38" s="324">
        <f t="shared" si="3"/>
        <v>606516.9729654165</v>
      </c>
      <c r="AW38" s="439">
        <f t="shared" si="4"/>
        <v>3.6545388475764278</v>
      </c>
      <c r="AX38" s="759">
        <f>AW38-AW86</f>
        <v>1.591903386669935</v>
      </c>
      <c r="AZ38" s="127" t="s">
        <v>43</v>
      </c>
      <c r="BA38" s="131" t="s">
        <v>44</v>
      </c>
      <c r="BC38" s="220">
        <f t="shared" si="5"/>
        <v>-59628.990000000049</v>
      </c>
      <c r="BD38" s="439">
        <f t="shared" si="6"/>
        <v>0.73902219154257376</v>
      </c>
      <c r="BE38" s="567" t="s">
        <v>356</v>
      </c>
      <c r="BF38" s="706">
        <f>BD38-BD86</f>
        <v>-4.2691333316281721E-2</v>
      </c>
    </row>
    <row r="39" spans="1:58" s="4" customFormat="1" ht="13.5" customHeight="1" x14ac:dyDescent="0.3">
      <c r="A39" s="127" t="s">
        <v>43</v>
      </c>
      <c r="B39" s="131" t="s">
        <v>45</v>
      </c>
      <c r="C39" s="3"/>
      <c r="D39" s="203">
        <v>324615</v>
      </c>
      <c r="E39" s="202">
        <v>365370</v>
      </c>
      <c r="G39" s="192">
        <f t="shared" si="7"/>
        <v>40755</v>
      </c>
      <c r="H39" s="253">
        <f t="shared" si="8"/>
        <v>1.1255487269534679</v>
      </c>
      <c r="J39" s="203">
        <v>217894</v>
      </c>
      <c r="K39" s="202">
        <f t="shared" si="9"/>
        <v>147476</v>
      </c>
      <c r="L39" s="31"/>
      <c r="M39" s="31"/>
      <c r="N39" s="127" t="s">
        <v>43</v>
      </c>
      <c r="O39" s="131" t="s">
        <v>45</v>
      </c>
      <c r="Q39" s="316">
        <v>758551.2</v>
      </c>
      <c r="R39" s="336">
        <v>1270535.8800000001</v>
      </c>
      <c r="T39" s="321">
        <v>759541.2</v>
      </c>
      <c r="U39" s="343">
        <v>1270535.8800000001</v>
      </c>
      <c r="V39" s="349"/>
      <c r="W39" s="341">
        <v>154776.09999999998</v>
      </c>
      <c r="X39" s="340">
        <v>417374.80000000005</v>
      </c>
      <c r="Z39" s="127" t="s">
        <v>43</v>
      </c>
      <c r="AA39" s="131" t="s">
        <v>45</v>
      </c>
      <c r="AC39" s="203">
        <v>217894</v>
      </c>
      <c r="AD39" s="345">
        <f t="shared" ref="AD39:AD70" si="12">(U39-AC39)</f>
        <v>1052641.8800000001</v>
      </c>
      <c r="AF39" s="325">
        <v>660515.28866830003</v>
      </c>
      <c r="AG39" s="329">
        <v>443895.28866830008</v>
      </c>
      <c r="AH39" s="290">
        <v>216620</v>
      </c>
      <c r="AK39" s="127" t="s">
        <v>43</v>
      </c>
      <c r="AL39" s="131" t="s">
        <v>45</v>
      </c>
      <c r="AN39" s="553">
        <f t="shared" si="10"/>
        <v>510994.68000000017</v>
      </c>
      <c r="AO39" s="439">
        <f t="shared" si="1"/>
        <v>1.6727675602060825</v>
      </c>
      <c r="AP39" s="761">
        <f>AO39-AO86</f>
        <v>-2.3603506549842779E-2</v>
      </c>
      <c r="AR39" s="324">
        <f t="shared" si="11"/>
        <v>-610020.5913317001</v>
      </c>
      <c r="AS39" s="439">
        <f t="shared" si="2"/>
        <v>0.51987141730172937</v>
      </c>
      <c r="AT39" s="764">
        <f>AS39-AS86</f>
        <v>-0.69603912333900286</v>
      </c>
      <c r="AV39" s="324">
        <f t="shared" ref="AV39:AV70" si="13">AF39-T39</f>
        <v>-99025.911331699928</v>
      </c>
      <c r="AW39" s="439">
        <f t="shared" si="4"/>
        <v>0.86962404234069213</v>
      </c>
      <c r="AX39" s="764">
        <f>AW39-AW86</f>
        <v>-1.1930114185658005</v>
      </c>
      <c r="AZ39" s="127" t="s">
        <v>43</v>
      </c>
      <c r="BA39" s="131" t="s">
        <v>45</v>
      </c>
      <c r="BC39" s="220">
        <f t="shared" ref="BC39:BC70" si="14">AH39-T39</f>
        <v>-542921.19999999995</v>
      </c>
      <c r="BD39" s="439">
        <f t="shared" si="6"/>
        <v>0.28519848561210376</v>
      </c>
      <c r="BE39" s="721" t="s">
        <v>454</v>
      </c>
      <c r="BF39" s="724">
        <f>BD39-BD86</f>
        <v>-0.49651503924675172</v>
      </c>
    </row>
    <row r="40" spans="1:58" s="4" customFormat="1" ht="13.5" customHeight="1" x14ac:dyDescent="0.3">
      <c r="A40" s="127" t="s">
        <v>43</v>
      </c>
      <c r="B40" s="131" t="s">
        <v>46</v>
      </c>
      <c r="C40" s="3"/>
      <c r="D40" s="192">
        <v>0</v>
      </c>
      <c r="E40" s="162">
        <v>0</v>
      </c>
      <c r="G40" s="192">
        <f t="shared" si="7"/>
        <v>0</v>
      </c>
      <c r="H40" s="253">
        <v>0</v>
      </c>
      <c r="J40" s="203">
        <v>12388</v>
      </c>
      <c r="K40" s="202">
        <f t="shared" si="9"/>
        <v>-12388</v>
      </c>
      <c r="L40" s="31"/>
      <c r="M40" s="31"/>
      <c r="N40" s="127" t="s">
        <v>43</v>
      </c>
      <c r="O40" s="131" t="s">
        <v>46</v>
      </c>
      <c r="Q40" s="318">
        <v>0</v>
      </c>
      <c r="R40" s="335">
        <v>0</v>
      </c>
      <c r="T40" s="322">
        <v>0</v>
      </c>
      <c r="U40" s="342">
        <v>0</v>
      </c>
      <c r="V40" s="348"/>
      <c r="W40" s="338">
        <v>0</v>
      </c>
      <c r="X40" s="340">
        <v>0</v>
      </c>
      <c r="Z40" s="127" t="s">
        <v>43</v>
      </c>
      <c r="AA40" s="131" t="s">
        <v>46</v>
      </c>
      <c r="AC40" s="203">
        <v>12388</v>
      </c>
      <c r="AD40" s="345">
        <f t="shared" si="12"/>
        <v>-12388</v>
      </c>
      <c r="AF40" s="325">
        <v>33255.895633507505</v>
      </c>
      <c r="AG40" s="329">
        <v>21808.895633507505</v>
      </c>
      <c r="AH40" s="290">
        <v>11447</v>
      </c>
      <c r="AK40" s="127" t="s">
        <v>43</v>
      </c>
      <c r="AL40" s="131" t="s">
        <v>46</v>
      </c>
      <c r="AN40" s="553">
        <f t="shared" si="10"/>
        <v>0</v>
      </c>
      <c r="AO40" s="439" t="s">
        <v>353</v>
      </c>
      <c r="AP40" s="549"/>
      <c r="AR40" s="324">
        <f t="shared" si="11"/>
        <v>33255.895633507505</v>
      </c>
      <c r="AS40" s="439" t="s">
        <v>355</v>
      </c>
      <c r="AT40" s="552"/>
      <c r="AV40" s="324">
        <f t="shared" si="13"/>
        <v>33255.895633507505</v>
      </c>
      <c r="AW40" s="439" t="s">
        <v>354</v>
      </c>
      <c r="AX40" s="552"/>
      <c r="AZ40" s="127" t="s">
        <v>43</v>
      </c>
      <c r="BA40" s="131" t="s">
        <v>46</v>
      </c>
      <c r="BC40" s="220">
        <f t="shared" si="14"/>
        <v>11447</v>
      </c>
      <c r="BD40" s="439" t="s">
        <v>354</v>
      </c>
      <c r="BE40" s="565"/>
      <c r="BF40" s="507" t="s">
        <v>457</v>
      </c>
    </row>
    <row r="41" spans="1:58" s="4" customFormat="1" ht="13.5" customHeight="1" x14ac:dyDescent="0.3">
      <c r="A41" s="127" t="s">
        <v>47</v>
      </c>
      <c r="B41" s="131" t="s">
        <v>48</v>
      </c>
      <c r="C41" s="3"/>
      <c r="D41" s="203">
        <v>36959</v>
      </c>
      <c r="E41" s="202">
        <v>151321</v>
      </c>
      <c r="G41" s="192">
        <f t="shared" si="7"/>
        <v>114362</v>
      </c>
      <c r="H41" s="253">
        <f t="shared" si="8"/>
        <v>4.0942936767769691</v>
      </c>
      <c r="J41" s="203">
        <v>147346</v>
      </c>
      <c r="K41" s="202">
        <f t="shared" si="9"/>
        <v>3975</v>
      </c>
      <c r="L41" s="31"/>
      <c r="M41" s="31"/>
      <c r="N41" s="127" t="s">
        <v>47</v>
      </c>
      <c r="O41" s="131" t="s">
        <v>48</v>
      </c>
      <c r="Q41" s="317">
        <v>68523.100000000006</v>
      </c>
      <c r="R41" s="335">
        <v>199214.57</v>
      </c>
      <c r="T41" s="320">
        <v>68523.100000000006</v>
      </c>
      <c r="U41" s="342">
        <v>199214.57</v>
      </c>
      <c r="V41" s="348"/>
      <c r="W41" s="338">
        <v>68523.100000000006</v>
      </c>
      <c r="X41" s="340">
        <v>199214.57</v>
      </c>
      <c r="Z41" s="127" t="s">
        <v>47</v>
      </c>
      <c r="AA41" s="131" t="s">
        <v>48</v>
      </c>
      <c r="AC41" s="203">
        <v>147346</v>
      </c>
      <c r="AD41" s="345">
        <f t="shared" si="12"/>
        <v>51868.570000000007</v>
      </c>
      <c r="AF41" s="325">
        <v>305200.28031757876</v>
      </c>
      <c r="AG41" s="329">
        <v>207276.28031757876</v>
      </c>
      <c r="AH41" s="290">
        <v>97924</v>
      </c>
      <c r="AK41" s="127" t="s">
        <v>47</v>
      </c>
      <c r="AL41" s="131" t="s">
        <v>48</v>
      </c>
      <c r="AN41" s="553">
        <f t="shared" si="10"/>
        <v>130691.47</v>
      </c>
      <c r="AO41" s="439">
        <f t="shared" ref="AO41:AO63" si="15">U41/T41</f>
        <v>2.9072614928396407</v>
      </c>
      <c r="AP41" s="759">
        <f>AO41-AO86</f>
        <v>1.2108904260837154</v>
      </c>
      <c r="AR41" s="324">
        <f t="shared" si="11"/>
        <v>105985.71031757875</v>
      </c>
      <c r="AS41" s="439">
        <f t="shared" ref="AS41:AS63" si="16">AF41/U41</f>
        <v>1.5320178655485828</v>
      </c>
      <c r="AT41" s="756">
        <f>AS41-AS86</f>
        <v>0.31610732490785054</v>
      </c>
      <c r="AV41" s="324">
        <f t="shared" si="13"/>
        <v>236677.18031757875</v>
      </c>
      <c r="AW41" s="439">
        <f t="shared" ref="AW41:AW63" si="17">AF41/T41</f>
        <v>4.4539765468517727</v>
      </c>
      <c r="AX41" s="759">
        <f>AW41-AW86</f>
        <v>2.3913410859452799</v>
      </c>
      <c r="AZ41" s="127" t="s">
        <v>47</v>
      </c>
      <c r="BA41" s="131" t="s">
        <v>48</v>
      </c>
      <c r="BC41" s="220">
        <f t="shared" si="14"/>
        <v>29400.899999999994</v>
      </c>
      <c r="BD41" s="439">
        <f t="shared" ref="BD41:BD63" si="18">AH41/T41</f>
        <v>1.4290655268077479</v>
      </c>
      <c r="BE41" s="570" t="s">
        <v>358</v>
      </c>
      <c r="BF41" s="545">
        <f>BD41-BD86</f>
        <v>0.64735200194889242</v>
      </c>
    </row>
    <row r="42" spans="1:58" s="4" customFormat="1" ht="13.5" customHeight="1" x14ac:dyDescent="0.3">
      <c r="A42" s="127" t="s">
        <v>47</v>
      </c>
      <c r="B42" s="131" t="s">
        <v>49</v>
      </c>
      <c r="C42" s="3"/>
      <c r="D42" s="203">
        <v>43233</v>
      </c>
      <c r="E42" s="202">
        <v>170684</v>
      </c>
      <c r="G42" s="192">
        <f t="shared" si="7"/>
        <v>127451</v>
      </c>
      <c r="H42" s="253">
        <f t="shared" si="8"/>
        <v>3.9480026831355679</v>
      </c>
      <c r="J42" s="203">
        <v>127379</v>
      </c>
      <c r="K42" s="202">
        <f t="shared" si="9"/>
        <v>43305</v>
      </c>
      <c r="L42" s="31"/>
      <c r="M42" s="31"/>
      <c r="N42" s="127" t="s">
        <v>47</v>
      </c>
      <c r="O42" s="131" t="s">
        <v>49</v>
      </c>
      <c r="Q42" s="316">
        <v>146992.10999999999</v>
      </c>
      <c r="R42" s="336">
        <v>223648.32000000004</v>
      </c>
      <c r="T42" s="321">
        <v>146992.10999999999</v>
      </c>
      <c r="U42" s="343">
        <v>223648.32000000004</v>
      </c>
      <c r="V42" s="349"/>
      <c r="W42" s="341">
        <v>146992.10999999999</v>
      </c>
      <c r="X42" s="340">
        <v>223648.32000000004</v>
      </c>
      <c r="Z42" s="127" t="s">
        <v>47</v>
      </c>
      <c r="AA42" s="131" t="s">
        <v>49</v>
      </c>
      <c r="AC42" s="203">
        <v>127379</v>
      </c>
      <c r="AD42" s="345">
        <f t="shared" si="12"/>
        <v>96269.320000000036</v>
      </c>
      <c r="AF42" s="325">
        <v>306269.26415512932</v>
      </c>
      <c r="AG42" s="329">
        <v>201609.26415512929</v>
      </c>
      <c r="AH42" s="290">
        <v>104660</v>
      </c>
      <c r="AK42" s="127" t="s">
        <v>47</v>
      </c>
      <c r="AL42" s="131" t="s">
        <v>49</v>
      </c>
      <c r="AN42" s="553">
        <f t="shared" si="10"/>
        <v>76656.21000000005</v>
      </c>
      <c r="AO42" s="439">
        <f t="shared" si="15"/>
        <v>1.521498806976783</v>
      </c>
      <c r="AP42" s="761">
        <f>AO42-AO86</f>
        <v>-0.17487225977914234</v>
      </c>
      <c r="AR42" s="324">
        <f t="shared" si="11"/>
        <v>82620.944155129284</v>
      </c>
      <c r="AS42" s="439">
        <f t="shared" si="16"/>
        <v>1.3694234955806028</v>
      </c>
      <c r="AT42" s="755">
        <f>AS42-AS86</f>
        <v>0.15351295493987061</v>
      </c>
      <c r="AV42" s="324">
        <f t="shared" si="13"/>
        <v>159277.15415512933</v>
      </c>
      <c r="AW42" s="439">
        <f t="shared" si="17"/>
        <v>2.0835762147718633</v>
      </c>
      <c r="AX42" s="755">
        <f>AW42-AW86</f>
        <v>2.0940753865370532E-2</v>
      </c>
      <c r="AZ42" s="127" t="s">
        <v>47</v>
      </c>
      <c r="BA42" s="131" t="s">
        <v>49</v>
      </c>
      <c r="BC42" s="220">
        <f t="shared" si="14"/>
        <v>-42332.109999999986</v>
      </c>
      <c r="BD42" s="439">
        <f t="shared" si="18"/>
        <v>0.71201100521653859</v>
      </c>
      <c r="BE42" s="567" t="s">
        <v>356</v>
      </c>
      <c r="BF42" s="706">
        <f>BD42-BD86</f>
        <v>-6.9702519642316885E-2</v>
      </c>
    </row>
    <row r="43" spans="1:58" s="4" customFormat="1" ht="13.5" customHeight="1" x14ac:dyDescent="0.3">
      <c r="A43" s="127" t="s">
        <v>47</v>
      </c>
      <c r="B43" s="131" t="s">
        <v>50</v>
      </c>
      <c r="C43" s="3"/>
      <c r="D43" s="203">
        <v>101370</v>
      </c>
      <c r="E43" s="202">
        <v>174520</v>
      </c>
      <c r="G43" s="192">
        <f t="shared" si="7"/>
        <v>73150</v>
      </c>
      <c r="H43" s="253">
        <f t="shared" si="8"/>
        <v>1.7216138897109599</v>
      </c>
      <c r="J43" s="203">
        <v>160969</v>
      </c>
      <c r="K43" s="202">
        <f t="shared" si="9"/>
        <v>13551</v>
      </c>
      <c r="L43" s="31"/>
      <c r="M43" s="31"/>
      <c r="N43" s="127" t="s">
        <v>47</v>
      </c>
      <c r="O43" s="131" t="s">
        <v>50</v>
      </c>
      <c r="Q43" s="317">
        <v>435124.99</v>
      </c>
      <c r="R43" s="335">
        <v>560157.94999999995</v>
      </c>
      <c r="T43" s="19">
        <v>435124.99</v>
      </c>
      <c r="U43" s="342">
        <v>560157.94999999995</v>
      </c>
      <c r="V43" s="348"/>
      <c r="W43" s="338">
        <v>143616.42000000001</v>
      </c>
      <c r="X43" s="340">
        <v>207644.23</v>
      </c>
      <c r="Z43" s="127" t="s">
        <v>47</v>
      </c>
      <c r="AA43" s="131" t="s">
        <v>50</v>
      </c>
      <c r="AC43" s="203">
        <v>160969</v>
      </c>
      <c r="AD43" s="345">
        <f t="shared" si="12"/>
        <v>399188.94999999995</v>
      </c>
      <c r="AF43" s="325">
        <v>376576.25094570173</v>
      </c>
      <c r="AG43" s="329">
        <v>228991.25094570176</v>
      </c>
      <c r="AH43" s="290">
        <v>147585</v>
      </c>
      <c r="AK43" s="127" t="s">
        <v>47</v>
      </c>
      <c r="AL43" s="131" t="s">
        <v>50</v>
      </c>
      <c r="AN43" s="553">
        <f t="shared" si="10"/>
        <v>125032.95999999996</v>
      </c>
      <c r="AO43" s="439">
        <f t="shared" si="15"/>
        <v>1.2873495268566395</v>
      </c>
      <c r="AP43" s="763">
        <f>AO43-AO86</f>
        <v>-0.4090215398992858</v>
      </c>
      <c r="AR43" s="324">
        <f t="shared" si="11"/>
        <v>-183581.69905429822</v>
      </c>
      <c r="AS43" s="439">
        <f t="shared" si="16"/>
        <v>0.67226797539105132</v>
      </c>
      <c r="AT43" s="763">
        <f>AS43-AS86</f>
        <v>-0.54364256524968091</v>
      </c>
      <c r="AV43" s="324">
        <f t="shared" si="13"/>
        <v>-58548.739054298261</v>
      </c>
      <c r="AW43" s="439">
        <f t="shared" si="17"/>
        <v>0.86544386004054086</v>
      </c>
      <c r="AX43" s="764">
        <f>AW43-AW86</f>
        <v>-1.1971916008659518</v>
      </c>
      <c r="AZ43" s="127" t="s">
        <v>47</v>
      </c>
      <c r="BA43" s="131" t="s">
        <v>50</v>
      </c>
      <c r="BC43" s="220">
        <f t="shared" si="14"/>
        <v>-287539.99</v>
      </c>
      <c r="BD43" s="439">
        <f t="shared" si="18"/>
        <v>0.33917840480731754</v>
      </c>
      <c r="BE43" s="721" t="s">
        <v>454</v>
      </c>
      <c r="BF43" s="724">
        <f>BD43-BD86</f>
        <v>-0.44253512005153794</v>
      </c>
    </row>
    <row r="44" spans="1:58" s="4" customFormat="1" ht="13.5" customHeight="1" x14ac:dyDescent="0.3">
      <c r="A44" s="127" t="s">
        <v>47</v>
      </c>
      <c r="B44" s="131" t="s">
        <v>51</v>
      </c>
      <c r="C44" s="3"/>
      <c r="D44" s="203">
        <v>150698</v>
      </c>
      <c r="E44" s="202">
        <v>502033</v>
      </c>
      <c r="G44" s="192">
        <f t="shared" si="7"/>
        <v>351335</v>
      </c>
      <c r="H44" s="253">
        <f t="shared" si="8"/>
        <v>3.331384623551739</v>
      </c>
      <c r="J44" s="203">
        <v>469115</v>
      </c>
      <c r="K44" s="202">
        <f t="shared" si="9"/>
        <v>32918</v>
      </c>
      <c r="L44" s="31"/>
      <c r="M44" s="31"/>
      <c r="N44" s="127" t="s">
        <v>47</v>
      </c>
      <c r="O44" s="131" t="s">
        <v>51</v>
      </c>
      <c r="Q44" s="317">
        <v>306075.25</v>
      </c>
      <c r="R44" s="335">
        <v>674060.83</v>
      </c>
      <c r="T44" s="19">
        <v>306075.25</v>
      </c>
      <c r="U44" s="342">
        <v>674060.83</v>
      </c>
      <c r="V44" s="348"/>
      <c r="W44" s="338">
        <v>306075.25</v>
      </c>
      <c r="X44" s="340">
        <v>674060.83</v>
      </c>
      <c r="Z44" s="127" t="s">
        <v>47</v>
      </c>
      <c r="AA44" s="131" t="s">
        <v>51</v>
      </c>
      <c r="AC44" s="203">
        <v>469115</v>
      </c>
      <c r="AD44" s="345">
        <f t="shared" si="12"/>
        <v>204945.82999999996</v>
      </c>
      <c r="AF44" s="325">
        <v>1047119.7355385181</v>
      </c>
      <c r="AG44" s="329">
        <v>649728.73553851806</v>
      </c>
      <c r="AH44" s="290">
        <v>397391</v>
      </c>
      <c r="AK44" s="127" t="s">
        <v>47</v>
      </c>
      <c r="AL44" s="131" t="s">
        <v>51</v>
      </c>
      <c r="AN44" s="553">
        <f t="shared" si="10"/>
        <v>367985.57999999996</v>
      </c>
      <c r="AO44" s="439">
        <f t="shared" si="15"/>
        <v>2.2022715982425889</v>
      </c>
      <c r="AP44" s="757">
        <f>AO44-AO86</f>
        <v>0.50590053148666358</v>
      </c>
      <c r="AR44" s="324">
        <f t="shared" si="11"/>
        <v>373058.9055385181</v>
      </c>
      <c r="AS44" s="439">
        <f t="shared" si="16"/>
        <v>1.5534499097633638</v>
      </c>
      <c r="AT44" s="756">
        <f>AS44-AS86</f>
        <v>0.33753936912263161</v>
      </c>
      <c r="AV44" s="324">
        <f t="shared" si="13"/>
        <v>741044.48553851806</v>
      </c>
      <c r="AW44" s="439">
        <f t="shared" si="17"/>
        <v>3.4211186155643687</v>
      </c>
      <c r="AX44" s="759">
        <f>AW44-AW86</f>
        <v>1.3584831546578759</v>
      </c>
      <c r="AZ44" s="127" t="s">
        <v>47</v>
      </c>
      <c r="BA44" s="131" t="s">
        <v>51</v>
      </c>
      <c r="BC44" s="220">
        <f t="shared" si="14"/>
        <v>91315.75</v>
      </c>
      <c r="BD44" s="439">
        <f t="shared" si="18"/>
        <v>1.2983441163570071</v>
      </c>
      <c r="BE44" s="720" t="s">
        <v>452</v>
      </c>
      <c r="BF44" s="724">
        <f>BD44-BD86</f>
        <v>0.5166305914981516</v>
      </c>
    </row>
    <row r="45" spans="1:58" s="4" customFormat="1" ht="13.5" customHeight="1" x14ac:dyDescent="0.3">
      <c r="A45" s="127" t="s">
        <v>47</v>
      </c>
      <c r="B45" s="131" t="s">
        <v>52</v>
      </c>
      <c r="C45" s="3"/>
      <c r="D45" s="203">
        <v>321807</v>
      </c>
      <c r="E45" s="202">
        <v>775705</v>
      </c>
      <c r="G45" s="192">
        <f t="shared" si="7"/>
        <v>453898</v>
      </c>
      <c r="H45" s="253">
        <f t="shared" si="8"/>
        <v>2.4104665218593753</v>
      </c>
      <c r="J45" s="203">
        <v>378451</v>
      </c>
      <c r="K45" s="202">
        <f t="shared" si="9"/>
        <v>397254</v>
      </c>
      <c r="L45" s="31"/>
      <c r="M45" s="31"/>
      <c r="N45" s="127" t="s">
        <v>47</v>
      </c>
      <c r="O45" s="131" t="s">
        <v>52</v>
      </c>
      <c r="Q45" s="317">
        <v>615045.14999999991</v>
      </c>
      <c r="R45" s="335">
        <v>1093229.53</v>
      </c>
      <c r="T45" s="320">
        <v>615045.14999999991</v>
      </c>
      <c r="U45" s="342">
        <v>1093229.53</v>
      </c>
      <c r="V45" s="348"/>
      <c r="W45" s="338">
        <v>429309.55999999994</v>
      </c>
      <c r="X45" s="340">
        <v>777787.29999999993</v>
      </c>
      <c r="Z45" s="127" t="s">
        <v>47</v>
      </c>
      <c r="AA45" s="131" t="s">
        <v>52</v>
      </c>
      <c r="AC45" s="203">
        <v>378451</v>
      </c>
      <c r="AD45" s="345">
        <f t="shared" si="12"/>
        <v>714778.53</v>
      </c>
      <c r="AF45" s="325">
        <v>1156155.468072081</v>
      </c>
      <c r="AG45" s="329">
        <v>663040.46807208098</v>
      </c>
      <c r="AH45" s="290">
        <v>493115</v>
      </c>
      <c r="AK45" s="127" t="s">
        <v>47</v>
      </c>
      <c r="AL45" s="131" t="s">
        <v>52</v>
      </c>
      <c r="AN45" s="553">
        <f t="shared" si="10"/>
        <v>478184.38000000012</v>
      </c>
      <c r="AO45" s="439">
        <f t="shared" si="15"/>
        <v>1.7774784989362167</v>
      </c>
      <c r="AP45" s="755">
        <f>AO45-AO86</f>
        <v>8.1107432180291372E-2</v>
      </c>
      <c r="AR45" s="324">
        <f t="shared" si="11"/>
        <v>62925.938072080957</v>
      </c>
      <c r="AS45" s="439">
        <f t="shared" si="16"/>
        <v>1.0575596764863102</v>
      </c>
      <c r="AT45" s="761">
        <f>AS45-AS86</f>
        <v>-0.15835086415442201</v>
      </c>
      <c r="AV45" s="324">
        <f t="shared" si="13"/>
        <v>541110.31807208108</v>
      </c>
      <c r="AW45" s="439">
        <f t="shared" si="17"/>
        <v>1.8797895862963576</v>
      </c>
      <c r="AX45" s="761">
        <f>AW45-AW86</f>
        <v>-0.18284587461013513</v>
      </c>
      <c r="AZ45" s="127" t="s">
        <v>47</v>
      </c>
      <c r="BA45" s="131" t="s">
        <v>52</v>
      </c>
      <c r="BC45" s="220">
        <f t="shared" si="14"/>
        <v>-121930.14999999991</v>
      </c>
      <c r="BD45" s="439">
        <f t="shared" si="18"/>
        <v>0.80175414764265696</v>
      </c>
      <c r="BE45" s="569" t="s">
        <v>340</v>
      </c>
      <c r="BF45" s="704">
        <f>BD45-BD86</f>
        <v>2.0040622783801476E-2</v>
      </c>
    </row>
    <row r="46" spans="1:58" s="4" customFormat="1" ht="13.5" customHeight="1" x14ac:dyDescent="0.3">
      <c r="A46" s="127" t="s">
        <v>47</v>
      </c>
      <c r="B46" s="131" t="s">
        <v>53</v>
      </c>
      <c r="C46" s="3"/>
      <c r="D46" s="203">
        <v>152370</v>
      </c>
      <c r="E46" s="202">
        <v>280493</v>
      </c>
      <c r="G46" s="192">
        <f t="shared" si="7"/>
        <v>128123</v>
      </c>
      <c r="H46" s="253">
        <f t="shared" si="8"/>
        <v>1.8408676248605369</v>
      </c>
      <c r="J46" s="203">
        <v>197029</v>
      </c>
      <c r="K46" s="202">
        <f t="shared" si="9"/>
        <v>83464</v>
      </c>
      <c r="L46" s="31"/>
      <c r="M46" s="31"/>
      <c r="N46" s="127" t="s">
        <v>47</v>
      </c>
      <c r="O46" s="131" t="s">
        <v>53</v>
      </c>
      <c r="Q46" s="317">
        <v>618307.37</v>
      </c>
      <c r="R46" s="335">
        <v>828207.08000000007</v>
      </c>
      <c r="T46" s="320">
        <v>613004.73</v>
      </c>
      <c r="U46" s="342">
        <v>773847.08</v>
      </c>
      <c r="V46" s="348"/>
      <c r="W46" s="338">
        <v>261179.7</v>
      </c>
      <c r="X46" s="340">
        <v>405992.20999999996</v>
      </c>
      <c r="Z46" s="127" t="s">
        <v>47</v>
      </c>
      <c r="AA46" s="131" t="s">
        <v>53</v>
      </c>
      <c r="AC46" s="203">
        <v>197029</v>
      </c>
      <c r="AD46" s="345">
        <f t="shared" si="12"/>
        <v>576818.07999999996</v>
      </c>
      <c r="AF46" s="325">
        <v>812644.54453064036</v>
      </c>
      <c r="AG46" s="329">
        <v>333821.5445306403</v>
      </c>
      <c r="AH46" s="290">
        <v>478823</v>
      </c>
      <c r="AK46" s="127" t="s">
        <v>47</v>
      </c>
      <c r="AL46" s="131" t="s">
        <v>53</v>
      </c>
      <c r="AN46" s="553">
        <f t="shared" si="10"/>
        <v>160842.34999999998</v>
      </c>
      <c r="AO46" s="439">
        <f t="shared" si="15"/>
        <v>1.262383538215113</v>
      </c>
      <c r="AP46" s="763">
        <f>AO46-AO86</f>
        <v>-0.43398752854081235</v>
      </c>
      <c r="AR46" s="324">
        <f t="shared" si="11"/>
        <v>38797.464530640398</v>
      </c>
      <c r="AS46" s="439">
        <f t="shared" si="16"/>
        <v>1.0501358285549651</v>
      </c>
      <c r="AT46" s="761">
        <f>AS46-AS86</f>
        <v>-0.16577471208576711</v>
      </c>
      <c r="AV46" s="324">
        <f t="shared" si="13"/>
        <v>199639.81453064037</v>
      </c>
      <c r="AW46" s="439">
        <f t="shared" si="17"/>
        <v>1.3256741828576761</v>
      </c>
      <c r="AX46" s="764">
        <f>AW46-AW86</f>
        <v>-0.73696127804881661</v>
      </c>
      <c r="AZ46" s="127" t="s">
        <v>47</v>
      </c>
      <c r="BA46" s="131" t="s">
        <v>53</v>
      </c>
      <c r="BC46" s="220">
        <f t="shared" si="14"/>
        <v>-134181.72999999998</v>
      </c>
      <c r="BD46" s="439">
        <f t="shared" si="18"/>
        <v>0.78110816534808791</v>
      </c>
      <c r="BE46" s="567" t="s">
        <v>356</v>
      </c>
      <c r="BF46" s="706">
        <f>BD46-BD86</f>
        <v>-6.0535951076756689E-4</v>
      </c>
    </row>
    <row r="47" spans="1:58" s="4" customFormat="1" ht="13.5" customHeight="1" x14ac:dyDescent="0.3">
      <c r="A47" s="127" t="s">
        <v>47</v>
      </c>
      <c r="B47" s="131" t="s">
        <v>54</v>
      </c>
      <c r="C47" s="3"/>
      <c r="D47" s="203">
        <v>57350</v>
      </c>
      <c r="E47" s="202">
        <v>251556</v>
      </c>
      <c r="G47" s="192">
        <f t="shared" si="7"/>
        <v>194206</v>
      </c>
      <c r="H47" s="253">
        <f t="shared" si="8"/>
        <v>4.3863295553618133</v>
      </c>
      <c r="J47" s="203">
        <v>218998</v>
      </c>
      <c r="K47" s="202">
        <f t="shared" si="9"/>
        <v>32558</v>
      </c>
      <c r="L47" s="31"/>
      <c r="M47" s="31"/>
      <c r="N47" s="127" t="s">
        <v>47</v>
      </c>
      <c r="O47" s="131" t="s">
        <v>54</v>
      </c>
      <c r="Q47" s="317">
        <v>114922</v>
      </c>
      <c r="R47" s="335">
        <v>325871</v>
      </c>
      <c r="T47" s="320">
        <v>114922</v>
      </c>
      <c r="U47" s="342">
        <v>325871</v>
      </c>
      <c r="V47" s="348"/>
      <c r="W47" s="338">
        <v>114922</v>
      </c>
      <c r="X47" s="340">
        <v>325871</v>
      </c>
      <c r="Z47" s="127" t="s">
        <v>47</v>
      </c>
      <c r="AA47" s="131" t="s">
        <v>54</v>
      </c>
      <c r="AC47" s="203">
        <v>218998</v>
      </c>
      <c r="AD47" s="345">
        <f t="shared" si="12"/>
        <v>106873</v>
      </c>
      <c r="AF47" s="325">
        <v>477254.32980511483</v>
      </c>
      <c r="AG47" s="329">
        <v>307254.32980511483</v>
      </c>
      <c r="AH47" s="290">
        <v>170000</v>
      </c>
      <c r="AK47" s="127" t="s">
        <v>47</v>
      </c>
      <c r="AL47" s="131" t="s">
        <v>54</v>
      </c>
      <c r="AN47" s="553">
        <f t="shared" si="10"/>
        <v>210949</v>
      </c>
      <c r="AO47" s="439">
        <f t="shared" si="15"/>
        <v>2.8355841353265694</v>
      </c>
      <c r="AP47" s="759">
        <f>AO47-AO86</f>
        <v>1.1392130685706441</v>
      </c>
      <c r="AR47" s="324">
        <f t="shared" si="11"/>
        <v>151383.32980511483</v>
      </c>
      <c r="AS47" s="439">
        <f t="shared" si="16"/>
        <v>1.4645498672944657</v>
      </c>
      <c r="AT47" s="756">
        <f>AS47-AS86</f>
        <v>0.24863932665373345</v>
      </c>
      <c r="AV47" s="324">
        <f t="shared" si="13"/>
        <v>362332.32980511483</v>
      </c>
      <c r="AW47" s="439">
        <f t="shared" si="17"/>
        <v>4.1528543690948192</v>
      </c>
      <c r="AX47" s="759">
        <f>AW47-AW86</f>
        <v>2.0902189081883265</v>
      </c>
      <c r="AZ47" s="127" t="s">
        <v>47</v>
      </c>
      <c r="BA47" s="131" t="s">
        <v>54</v>
      </c>
      <c r="BC47" s="220">
        <f t="shared" si="14"/>
        <v>55078</v>
      </c>
      <c r="BD47" s="439">
        <f t="shared" si="18"/>
        <v>1.4792641965855102</v>
      </c>
      <c r="BE47" s="570" t="s">
        <v>358</v>
      </c>
      <c r="BF47" s="724">
        <f>BD47-BD86</f>
        <v>0.69755067172665475</v>
      </c>
    </row>
    <row r="48" spans="1:58" s="4" customFormat="1" ht="13.5" customHeight="1" x14ac:dyDescent="0.3">
      <c r="A48" s="127" t="s">
        <v>47</v>
      </c>
      <c r="B48" s="131" t="s">
        <v>55</v>
      </c>
      <c r="C48" s="3"/>
      <c r="D48" s="203">
        <v>519884</v>
      </c>
      <c r="E48" s="202">
        <v>727325</v>
      </c>
      <c r="G48" s="192">
        <f t="shared" si="7"/>
        <v>207441</v>
      </c>
      <c r="H48" s="253">
        <f t="shared" si="8"/>
        <v>1.3990140108177977</v>
      </c>
      <c r="J48" s="203">
        <v>185913</v>
      </c>
      <c r="K48" s="202">
        <f t="shared" si="9"/>
        <v>541412</v>
      </c>
      <c r="L48" s="31"/>
      <c r="M48" s="31"/>
      <c r="N48" s="127" t="s">
        <v>47</v>
      </c>
      <c r="O48" s="131" t="s">
        <v>55</v>
      </c>
      <c r="Q48" s="317">
        <v>868730</v>
      </c>
      <c r="R48" s="335">
        <v>1258168</v>
      </c>
      <c r="T48" s="19">
        <v>847796</v>
      </c>
      <c r="U48" s="342">
        <v>1072343</v>
      </c>
      <c r="V48" s="348"/>
      <c r="W48" s="338">
        <v>254505.78</v>
      </c>
      <c r="X48" s="340">
        <v>355432</v>
      </c>
      <c r="Z48" s="127" t="s">
        <v>47</v>
      </c>
      <c r="AA48" s="131" t="s">
        <v>55</v>
      </c>
      <c r="AC48" s="203">
        <v>185913</v>
      </c>
      <c r="AD48" s="345">
        <f t="shared" si="12"/>
        <v>886430</v>
      </c>
      <c r="AF48" s="325">
        <v>462576.99286017346</v>
      </c>
      <c r="AG48" s="329">
        <v>334040.99286017346</v>
      </c>
      <c r="AH48" s="290">
        <v>128536</v>
      </c>
      <c r="AK48" s="127" t="s">
        <v>47</v>
      </c>
      <c r="AL48" s="131" t="s">
        <v>55</v>
      </c>
      <c r="AN48" s="553">
        <f t="shared" si="10"/>
        <v>224547</v>
      </c>
      <c r="AO48" s="439">
        <f t="shared" si="15"/>
        <v>1.2648597068162624</v>
      </c>
      <c r="AP48" s="763">
        <f>AO48-AO86</f>
        <v>-0.43151135993966294</v>
      </c>
      <c r="AR48" s="324">
        <f t="shared" si="11"/>
        <v>-609766.00713982654</v>
      </c>
      <c r="AS48" s="439">
        <f t="shared" si="16"/>
        <v>0.43137036644075027</v>
      </c>
      <c r="AT48" s="764">
        <f>AS48-AS86</f>
        <v>-0.78454017419998201</v>
      </c>
      <c r="AV48" s="324">
        <f t="shared" si="13"/>
        <v>-385219.00713982654</v>
      </c>
      <c r="AW48" s="439">
        <f t="shared" si="17"/>
        <v>0.54562299522547109</v>
      </c>
      <c r="AX48" s="764">
        <f>AW48-AW86</f>
        <v>-1.5170124656810215</v>
      </c>
      <c r="AZ48" s="127" t="s">
        <v>47</v>
      </c>
      <c r="BA48" s="131" t="s">
        <v>55</v>
      </c>
      <c r="BC48" s="220">
        <f t="shared" si="14"/>
        <v>-719260</v>
      </c>
      <c r="BD48" s="439">
        <f t="shared" si="18"/>
        <v>0.15161194438284681</v>
      </c>
      <c r="BE48" s="721" t="s">
        <v>454</v>
      </c>
      <c r="BF48" s="724">
        <f>BD48-BD86</f>
        <v>-0.63010158047600862</v>
      </c>
    </row>
    <row r="49" spans="1:58" s="4" customFormat="1" ht="13.5" customHeight="1" x14ac:dyDescent="0.3">
      <c r="A49" s="127" t="s">
        <v>56</v>
      </c>
      <c r="B49" s="131" t="s">
        <v>57</v>
      </c>
      <c r="C49" s="3"/>
      <c r="D49" s="203">
        <v>484381</v>
      </c>
      <c r="E49" s="202">
        <v>647110</v>
      </c>
      <c r="G49" s="192">
        <f t="shared" si="7"/>
        <v>162729</v>
      </c>
      <c r="H49" s="253">
        <f t="shared" si="8"/>
        <v>1.3359524836853633</v>
      </c>
      <c r="J49" s="203">
        <v>158761</v>
      </c>
      <c r="K49" s="202">
        <f t="shared" si="9"/>
        <v>488349</v>
      </c>
      <c r="L49" s="31"/>
      <c r="M49" s="31"/>
      <c r="N49" s="127" t="s">
        <v>56</v>
      </c>
      <c r="O49" s="131" t="s">
        <v>57</v>
      </c>
      <c r="Q49" s="317">
        <v>907670.85000000009</v>
      </c>
      <c r="R49" s="335">
        <v>1188890</v>
      </c>
      <c r="T49" s="320">
        <v>907670.85000000009</v>
      </c>
      <c r="U49" s="342">
        <v>1150543</v>
      </c>
      <c r="V49" s="348"/>
      <c r="W49" s="338">
        <v>275787.53999999998</v>
      </c>
      <c r="X49" s="340">
        <v>312544.64000000007</v>
      </c>
      <c r="Z49" s="127" t="s">
        <v>56</v>
      </c>
      <c r="AA49" s="131" t="s">
        <v>57</v>
      </c>
      <c r="AC49" s="203">
        <v>158761</v>
      </c>
      <c r="AD49" s="345">
        <f t="shared" si="12"/>
        <v>991782</v>
      </c>
      <c r="AF49" s="325">
        <v>489303.49127459654</v>
      </c>
      <c r="AG49" s="329">
        <v>415760.49127459654</v>
      </c>
      <c r="AH49" s="290">
        <v>73543</v>
      </c>
      <c r="AK49" s="127" t="s">
        <v>56</v>
      </c>
      <c r="AL49" s="131" t="s">
        <v>57</v>
      </c>
      <c r="AN49" s="553">
        <f t="shared" si="10"/>
        <v>242872.14999999991</v>
      </c>
      <c r="AO49" s="439">
        <f t="shared" si="15"/>
        <v>1.267577338194787</v>
      </c>
      <c r="AP49" s="763">
        <f>AO49-AO86</f>
        <v>-0.42879372856113829</v>
      </c>
      <c r="AR49" s="324">
        <f t="shared" si="11"/>
        <v>-661239.50872540346</v>
      </c>
      <c r="AS49" s="439">
        <f t="shared" si="16"/>
        <v>0.4252804904072221</v>
      </c>
      <c r="AT49" s="764">
        <f>AS49-AS86</f>
        <v>-0.79063005023351018</v>
      </c>
      <c r="AV49" s="324">
        <f t="shared" si="13"/>
        <v>-418367.35872540355</v>
      </c>
      <c r="AW49" s="439">
        <f t="shared" si="17"/>
        <v>0.53907591201656024</v>
      </c>
      <c r="AX49" s="764">
        <f>AW49-AW86</f>
        <v>-1.5235595488899325</v>
      </c>
      <c r="AZ49" s="127" t="s">
        <v>56</v>
      </c>
      <c r="BA49" s="131" t="s">
        <v>57</v>
      </c>
      <c r="BC49" s="220">
        <f t="shared" si="14"/>
        <v>-834127.85000000009</v>
      </c>
      <c r="BD49" s="439">
        <f t="shared" si="18"/>
        <v>8.1023864542967297E-2</v>
      </c>
      <c r="BE49" s="721" t="s">
        <v>454</v>
      </c>
      <c r="BF49" s="724">
        <f>BD49-BD86</f>
        <v>-0.7006896603158882</v>
      </c>
    </row>
    <row r="50" spans="1:58" s="4" customFormat="1" ht="13.5" customHeight="1" x14ac:dyDescent="0.3">
      <c r="A50" s="127" t="s">
        <v>56</v>
      </c>
      <c r="B50" s="131" t="s">
        <v>58</v>
      </c>
      <c r="C50" s="3"/>
      <c r="D50" s="203">
        <v>116326</v>
      </c>
      <c r="E50" s="202">
        <v>591613</v>
      </c>
      <c r="G50" s="192">
        <f t="shared" si="7"/>
        <v>475287</v>
      </c>
      <c r="H50" s="253">
        <f t="shared" si="8"/>
        <v>5.0858191633856578</v>
      </c>
      <c r="J50" s="203">
        <v>460619</v>
      </c>
      <c r="K50" s="202">
        <f t="shared" si="9"/>
        <v>130994</v>
      </c>
      <c r="L50" s="31"/>
      <c r="M50" s="31"/>
      <c r="N50" s="127" t="s">
        <v>56</v>
      </c>
      <c r="O50" s="131" t="s">
        <v>58</v>
      </c>
      <c r="Q50" s="317">
        <v>3609337.8</v>
      </c>
      <c r="R50" s="335">
        <v>2192203</v>
      </c>
      <c r="T50" s="320">
        <v>1077332.8</v>
      </c>
      <c r="U50" s="342">
        <v>2181019</v>
      </c>
      <c r="V50" s="348"/>
      <c r="W50" s="338">
        <v>323386.53999999998</v>
      </c>
      <c r="X50" s="340">
        <v>737468.54999999993</v>
      </c>
      <c r="Z50" s="127" t="s">
        <v>56</v>
      </c>
      <c r="AA50" s="131" t="s">
        <v>58</v>
      </c>
      <c r="AC50" s="203">
        <v>460619</v>
      </c>
      <c r="AD50" s="345">
        <f t="shared" si="12"/>
        <v>1720400</v>
      </c>
      <c r="AF50" s="325">
        <v>1187270.1030391278</v>
      </c>
      <c r="AG50" s="329">
        <v>782650.10303912789</v>
      </c>
      <c r="AH50" s="290">
        <v>404620</v>
      </c>
      <c r="AK50" s="127" t="s">
        <v>56</v>
      </c>
      <c r="AL50" s="131" t="s">
        <v>58</v>
      </c>
      <c r="AN50" s="553">
        <f t="shared" si="10"/>
        <v>1103686.2</v>
      </c>
      <c r="AO50" s="439">
        <f t="shared" si="15"/>
        <v>2.0244617076543108</v>
      </c>
      <c r="AP50" s="756">
        <f>AO50-AO86</f>
        <v>0.32809064089838547</v>
      </c>
      <c r="AR50" s="324">
        <f t="shared" si="11"/>
        <v>-993748.89696087223</v>
      </c>
      <c r="AS50" s="439">
        <f t="shared" si="16"/>
        <v>0.54436486020485275</v>
      </c>
      <c r="AT50" s="764">
        <f>AS50-AS86</f>
        <v>-0.67154568043587948</v>
      </c>
      <c r="AV50" s="324">
        <f t="shared" si="13"/>
        <v>109937.30303912773</v>
      </c>
      <c r="AW50" s="439">
        <f t="shared" si="17"/>
        <v>1.1020458144773164</v>
      </c>
      <c r="AX50" s="764">
        <f>AW50-AW86</f>
        <v>-0.96058964642917632</v>
      </c>
      <c r="AZ50" s="127" t="s">
        <v>56</v>
      </c>
      <c r="BA50" s="131" t="s">
        <v>58</v>
      </c>
      <c r="BC50" s="220">
        <f t="shared" si="14"/>
        <v>-672712.8</v>
      </c>
      <c r="BD50" s="439">
        <f t="shared" si="18"/>
        <v>0.37557568097805988</v>
      </c>
      <c r="BE50" s="721" t="s">
        <v>454</v>
      </c>
      <c r="BF50" s="724">
        <f>BD50-BD86</f>
        <v>-0.4061378438807956</v>
      </c>
    </row>
    <row r="51" spans="1:58" s="4" customFormat="1" ht="13.5" customHeight="1" x14ac:dyDescent="0.3">
      <c r="A51" s="127" t="s">
        <v>56</v>
      </c>
      <c r="B51" s="131" t="s">
        <v>59</v>
      </c>
      <c r="C51" s="3"/>
      <c r="D51" s="203">
        <v>91042</v>
      </c>
      <c r="E51" s="202">
        <v>327485</v>
      </c>
      <c r="G51" s="192">
        <f t="shared" si="7"/>
        <v>236443</v>
      </c>
      <c r="H51" s="253">
        <f t="shared" si="8"/>
        <v>3.5970760747786734</v>
      </c>
      <c r="J51" s="203">
        <v>237093</v>
      </c>
      <c r="K51" s="202">
        <f t="shared" si="9"/>
        <v>90392</v>
      </c>
      <c r="L51" s="31"/>
      <c r="M51" s="31"/>
      <c r="N51" s="127" t="s">
        <v>56</v>
      </c>
      <c r="O51" s="131" t="s">
        <v>59</v>
      </c>
      <c r="Q51" s="316">
        <v>430615</v>
      </c>
      <c r="R51" s="336">
        <v>861172</v>
      </c>
      <c r="T51" s="321">
        <v>430615</v>
      </c>
      <c r="U51" s="343">
        <v>737632</v>
      </c>
      <c r="V51" s="349"/>
      <c r="W51" s="341">
        <v>205291.46000000002</v>
      </c>
      <c r="X51" s="340">
        <v>465226.31999999995</v>
      </c>
      <c r="Z51" s="127" t="s">
        <v>56</v>
      </c>
      <c r="AA51" s="131" t="s">
        <v>59</v>
      </c>
      <c r="AC51" s="203">
        <v>237093</v>
      </c>
      <c r="AD51" s="345">
        <f t="shared" si="12"/>
        <v>500539</v>
      </c>
      <c r="AF51" s="325">
        <v>774000.73450487375</v>
      </c>
      <c r="AG51" s="329">
        <v>461777.73450487375</v>
      </c>
      <c r="AH51" s="290">
        <v>312223</v>
      </c>
      <c r="AK51" s="127" t="s">
        <v>56</v>
      </c>
      <c r="AL51" s="131" t="s">
        <v>59</v>
      </c>
      <c r="AN51" s="553">
        <f t="shared" si="10"/>
        <v>307017</v>
      </c>
      <c r="AO51" s="439">
        <f t="shared" si="15"/>
        <v>1.7129733056210303</v>
      </c>
      <c r="AP51" s="755">
        <f>AO51-AO86</f>
        <v>1.6602238865105035E-2</v>
      </c>
      <c r="AR51" s="324">
        <f t="shared" si="11"/>
        <v>36368.734504873748</v>
      </c>
      <c r="AS51" s="439">
        <f t="shared" si="16"/>
        <v>1.0493047136036313</v>
      </c>
      <c r="AT51" s="761">
        <f>AS51-AS86</f>
        <v>-0.16660582703710092</v>
      </c>
      <c r="AV51" s="324">
        <f t="shared" si="13"/>
        <v>343385.73450487375</v>
      </c>
      <c r="AW51" s="439">
        <f t="shared" si="17"/>
        <v>1.7974309638653407</v>
      </c>
      <c r="AX51" s="762">
        <f>AW51-AW86</f>
        <v>-0.26520449704115201</v>
      </c>
      <c r="AZ51" s="127" t="s">
        <v>56</v>
      </c>
      <c r="BA51" s="131" t="s">
        <v>59</v>
      </c>
      <c r="BC51" s="220">
        <f t="shared" si="14"/>
        <v>-118392</v>
      </c>
      <c r="BD51" s="439">
        <f t="shared" si="18"/>
        <v>0.72506299130313623</v>
      </c>
      <c r="BE51" s="567" t="s">
        <v>356</v>
      </c>
      <c r="BF51" s="706">
        <f>BD51-BD86</f>
        <v>-5.6650533555719251E-2</v>
      </c>
    </row>
    <row r="52" spans="1:58" s="4" customFormat="1" ht="13.5" customHeight="1" x14ac:dyDescent="0.3">
      <c r="A52" s="127" t="s">
        <v>60</v>
      </c>
      <c r="B52" s="131" t="s">
        <v>61</v>
      </c>
      <c r="C52" s="3"/>
      <c r="D52" s="203">
        <v>48000</v>
      </c>
      <c r="E52" s="202">
        <v>189495</v>
      </c>
      <c r="G52" s="192">
        <f t="shared" si="7"/>
        <v>141495</v>
      </c>
      <c r="H52" s="253">
        <f t="shared" si="8"/>
        <v>3.9478124999999999</v>
      </c>
      <c r="J52" s="203">
        <v>140328</v>
      </c>
      <c r="K52" s="202">
        <f t="shared" si="9"/>
        <v>49167</v>
      </c>
      <c r="L52" s="31"/>
      <c r="M52" s="31"/>
      <c r="N52" s="127" t="s">
        <v>60</v>
      </c>
      <c r="O52" s="131" t="s">
        <v>61</v>
      </c>
      <c r="Q52" s="317">
        <v>816399.51</v>
      </c>
      <c r="R52" s="336">
        <v>1160595.75</v>
      </c>
      <c r="T52" s="19">
        <v>797822.51</v>
      </c>
      <c r="U52" s="343">
        <v>1073876.55</v>
      </c>
      <c r="V52" s="349"/>
      <c r="W52" s="338">
        <v>-25778.649999999951</v>
      </c>
      <c r="X52" s="340">
        <v>-95997.050000000134</v>
      </c>
      <c r="Z52" s="127" t="s">
        <v>60</v>
      </c>
      <c r="AA52" s="131" t="s">
        <v>61</v>
      </c>
      <c r="AC52" s="203">
        <v>140328</v>
      </c>
      <c r="AD52" s="345">
        <f t="shared" si="12"/>
        <v>933548.55</v>
      </c>
      <c r="AF52" s="325">
        <v>443030.28534988849</v>
      </c>
      <c r="AG52" s="329">
        <v>260646.28534988852</v>
      </c>
      <c r="AH52" s="290">
        <v>182384</v>
      </c>
      <c r="AK52" s="127" t="s">
        <v>60</v>
      </c>
      <c r="AL52" s="131" t="s">
        <v>61</v>
      </c>
      <c r="AN52" s="553">
        <f t="shared" si="10"/>
        <v>276054.04000000004</v>
      </c>
      <c r="AO52" s="439">
        <f t="shared" si="15"/>
        <v>1.3460093398467787</v>
      </c>
      <c r="AP52" s="762">
        <f>AO52-AO86</f>
        <v>-0.35036172690914658</v>
      </c>
      <c r="AR52" s="324">
        <f t="shared" si="11"/>
        <v>-630846.26465011155</v>
      </c>
      <c r="AS52" s="439">
        <f t="shared" si="16"/>
        <v>0.41255234165406485</v>
      </c>
      <c r="AT52" s="764">
        <f>AS52-AS86</f>
        <v>-0.80335819898666738</v>
      </c>
      <c r="AV52" s="324">
        <f t="shared" si="13"/>
        <v>-354792.22465011152</v>
      </c>
      <c r="AW52" s="439">
        <f t="shared" si="17"/>
        <v>0.55529930504203062</v>
      </c>
      <c r="AX52" s="764">
        <f>AW52-AW86</f>
        <v>-1.5073361558644622</v>
      </c>
      <c r="AZ52" s="127" t="s">
        <v>60</v>
      </c>
      <c r="BA52" s="131" t="s">
        <v>61</v>
      </c>
      <c r="BC52" s="220">
        <f t="shared" si="14"/>
        <v>-615438.51</v>
      </c>
      <c r="BD52" s="439">
        <f t="shared" si="18"/>
        <v>0.22860222382043344</v>
      </c>
      <c r="BE52" s="721" t="s">
        <v>454</v>
      </c>
      <c r="BF52" s="724">
        <f>BD52-BD86</f>
        <v>-0.5531113010384221</v>
      </c>
    </row>
    <row r="53" spans="1:58" s="4" customFormat="1" ht="13.5" customHeight="1" x14ac:dyDescent="0.3">
      <c r="A53" s="127" t="s">
        <v>60</v>
      </c>
      <c r="B53" s="131" t="s">
        <v>62</v>
      </c>
      <c r="C53" s="3"/>
      <c r="D53" s="203">
        <v>5047</v>
      </c>
      <c r="E53" s="202">
        <v>13605</v>
      </c>
      <c r="G53" s="192">
        <f t="shared" si="7"/>
        <v>8558</v>
      </c>
      <c r="H53" s="253">
        <f t="shared" si="8"/>
        <v>2.6956607885872796</v>
      </c>
      <c r="J53" s="203">
        <v>18750</v>
      </c>
      <c r="K53" s="202">
        <f t="shared" si="9"/>
        <v>-5145</v>
      </c>
      <c r="L53" s="31"/>
      <c r="M53" s="31"/>
      <c r="N53" s="127" t="s">
        <v>60</v>
      </c>
      <c r="O53" s="131" t="s">
        <v>62</v>
      </c>
      <c r="Q53" s="317">
        <v>12839</v>
      </c>
      <c r="R53" s="336">
        <v>76610.960000000006</v>
      </c>
      <c r="T53" s="19">
        <v>12839</v>
      </c>
      <c r="U53" s="343">
        <v>62860.959999999999</v>
      </c>
      <c r="V53" s="349"/>
      <c r="W53" s="341">
        <v>12839</v>
      </c>
      <c r="X53" s="340">
        <v>39676.339999999997</v>
      </c>
      <c r="Z53" s="127" t="s">
        <v>60</v>
      </c>
      <c r="AA53" s="131" t="s">
        <v>62</v>
      </c>
      <c r="AC53" s="203">
        <v>18750</v>
      </c>
      <c r="AD53" s="345">
        <f t="shared" si="12"/>
        <v>44110.96</v>
      </c>
      <c r="AF53" s="325">
        <v>86893.786870613258</v>
      </c>
      <c r="AG53" s="329">
        <v>27207.78687061325</v>
      </c>
      <c r="AH53" s="290">
        <v>59686</v>
      </c>
      <c r="AK53" s="127" t="s">
        <v>60</v>
      </c>
      <c r="AL53" s="131" t="s">
        <v>62</v>
      </c>
      <c r="AN53" s="553">
        <f t="shared" si="10"/>
        <v>50021.96</v>
      </c>
      <c r="AO53" s="439">
        <f t="shared" si="15"/>
        <v>4.8960947114261231</v>
      </c>
      <c r="AP53" s="759">
        <f>AO53-AO86</f>
        <v>3.1997236446701978</v>
      </c>
      <c r="AR53" s="324">
        <f t="shared" si="11"/>
        <v>24032.826870613259</v>
      </c>
      <c r="AS53" s="439">
        <f t="shared" si="16"/>
        <v>1.3823172104055246</v>
      </c>
      <c r="AT53" s="755">
        <f>AS53-AS86</f>
        <v>0.16640666976479235</v>
      </c>
      <c r="AV53" s="324">
        <f t="shared" si="13"/>
        <v>74054.786870613258</v>
      </c>
      <c r="AW53" s="439">
        <f t="shared" si="17"/>
        <v>6.7679559833798004</v>
      </c>
      <c r="AX53" s="759">
        <f>AW53-AW86</f>
        <v>4.7053205224733077</v>
      </c>
      <c r="AZ53" s="127" t="s">
        <v>60</v>
      </c>
      <c r="BA53" s="131" t="s">
        <v>62</v>
      </c>
      <c r="BC53" s="220">
        <f t="shared" si="14"/>
        <v>46847</v>
      </c>
      <c r="BD53" s="439">
        <f t="shared" si="18"/>
        <v>4.6488044240205619</v>
      </c>
      <c r="BE53" s="570" t="s">
        <v>453</v>
      </c>
      <c r="BF53" s="545">
        <f>BD53-BD86</f>
        <v>3.8670908991617066</v>
      </c>
    </row>
    <row r="54" spans="1:58" s="4" customFormat="1" ht="13.5" customHeight="1" x14ac:dyDescent="0.3">
      <c r="A54" s="127" t="s">
        <v>60</v>
      </c>
      <c r="B54" s="131" t="s">
        <v>63</v>
      </c>
      <c r="C54" s="3"/>
      <c r="D54" s="203">
        <v>60081</v>
      </c>
      <c r="E54" s="202">
        <v>195693</v>
      </c>
      <c r="G54" s="192">
        <f t="shared" si="7"/>
        <v>135612</v>
      </c>
      <c r="H54" s="253">
        <f t="shared" si="8"/>
        <v>3.2571528436610575</v>
      </c>
      <c r="J54" s="203">
        <v>190797</v>
      </c>
      <c r="K54" s="202">
        <f t="shared" si="9"/>
        <v>4896</v>
      </c>
      <c r="L54" s="31"/>
      <c r="M54" s="31"/>
      <c r="N54" s="127" t="s">
        <v>60</v>
      </c>
      <c r="O54" s="131" t="s">
        <v>63</v>
      </c>
      <c r="Q54" s="317">
        <v>66373</v>
      </c>
      <c r="R54" s="336">
        <v>244751</v>
      </c>
      <c r="T54" s="19">
        <v>66373</v>
      </c>
      <c r="U54" s="343">
        <v>244751</v>
      </c>
      <c r="V54" s="349"/>
      <c r="W54" s="341">
        <v>66373</v>
      </c>
      <c r="X54" s="340">
        <v>244751</v>
      </c>
      <c r="Z54" s="127" t="s">
        <v>60</v>
      </c>
      <c r="AA54" s="131" t="s">
        <v>63</v>
      </c>
      <c r="AC54" s="203">
        <v>190797</v>
      </c>
      <c r="AD54" s="345">
        <f t="shared" si="12"/>
        <v>53954</v>
      </c>
      <c r="AF54" s="325">
        <v>437500.07519196795</v>
      </c>
      <c r="AG54" s="329">
        <v>320506.07519196795</v>
      </c>
      <c r="AH54" s="290">
        <v>116994</v>
      </c>
      <c r="AK54" s="127" t="s">
        <v>60</v>
      </c>
      <c r="AL54" s="131" t="s">
        <v>63</v>
      </c>
      <c r="AN54" s="553">
        <f t="shared" si="10"/>
        <v>178378</v>
      </c>
      <c r="AO54" s="439">
        <f t="shared" si="15"/>
        <v>3.6875084748316334</v>
      </c>
      <c r="AP54" s="759">
        <f>AO54-AO86</f>
        <v>1.991137408075708</v>
      </c>
      <c r="AR54" s="324">
        <f t="shared" si="11"/>
        <v>192749.07519196795</v>
      </c>
      <c r="AS54" s="439">
        <f t="shared" si="16"/>
        <v>1.7875313081130126</v>
      </c>
      <c r="AT54" s="757">
        <f>AS54-AS86</f>
        <v>0.57162076747228041</v>
      </c>
      <c r="AV54" s="324">
        <f t="shared" si="13"/>
        <v>371127.07519196795</v>
      </c>
      <c r="AW54" s="439">
        <f t="shared" si="17"/>
        <v>6.5915368476936091</v>
      </c>
      <c r="AX54" s="759">
        <f>AW54-AW86</f>
        <v>4.5289013867871164</v>
      </c>
      <c r="AZ54" s="127" t="s">
        <v>60</v>
      </c>
      <c r="BA54" s="131" t="s">
        <v>63</v>
      </c>
      <c r="BC54" s="220">
        <f t="shared" si="14"/>
        <v>50621</v>
      </c>
      <c r="BD54" s="439">
        <f t="shared" si="18"/>
        <v>1.7626745815316469</v>
      </c>
      <c r="BE54" s="570" t="s">
        <v>453</v>
      </c>
      <c r="BF54" s="545">
        <f>BD54-BD86</f>
        <v>0.98096105667279143</v>
      </c>
    </row>
    <row r="55" spans="1:58" s="4" customFormat="1" ht="13.5" customHeight="1" x14ac:dyDescent="0.3">
      <c r="A55" s="127" t="s">
        <v>60</v>
      </c>
      <c r="B55" s="131" t="s">
        <v>64</v>
      </c>
      <c r="C55" s="3"/>
      <c r="D55" s="203">
        <v>82830</v>
      </c>
      <c r="E55" s="202">
        <v>181861</v>
      </c>
      <c r="G55" s="192">
        <f t="shared" si="7"/>
        <v>99031</v>
      </c>
      <c r="H55" s="253">
        <f t="shared" si="8"/>
        <v>2.1955933840395994</v>
      </c>
      <c r="J55" s="203">
        <v>278898</v>
      </c>
      <c r="K55" s="202">
        <f t="shared" si="9"/>
        <v>-97037</v>
      </c>
      <c r="L55" s="31"/>
      <c r="M55" s="31"/>
      <c r="N55" s="127" t="s">
        <v>60</v>
      </c>
      <c r="O55" s="131" t="s">
        <v>64</v>
      </c>
      <c r="Q55" s="316">
        <v>1211886.5</v>
      </c>
      <c r="R55" s="335">
        <v>1647081.97</v>
      </c>
      <c r="T55" s="19">
        <v>1198050.81</v>
      </c>
      <c r="U55" s="342">
        <v>1608249.37</v>
      </c>
      <c r="V55" s="348"/>
      <c r="W55" s="338">
        <v>437621.92</v>
      </c>
      <c r="X55" s="340">
        <v>532551.86</v>
      </c>
      <c r="Z55" s="127" t="s">
        <v>60</v>
      </c>
      <c r="AA55" s="131" t="s">
        <v>64</v>
      </c>
      <c r="AC55" s="203">
        <v>278898</v>
      </c>
      <c r="AD55" s="345">
        <f t="shared" si="12"/>
        <v>1329351.3700000001</v>
      </c>
      <c r="AF55" s="325">
        <v>651999.67405620054</v>
      </c>
      <c r="AG55" s="329">
        <v>489757.67405620054</v>
      </c>
      <c r="AH55" s="290">
        <v>162242</v>
      </c>
      <c r="AK55" s="127" t="s">
        <v>60</v>
      </c>
      <c r="AL55" s="131" t="s">
        <v>64</v>
      </c>
      <c r="AN55" s="553">
        <f t="shared" si="10"/>
        <v>410198.56000000006</v>
      </c>
      <c r="AO55" s="439">
        <f t="shared" si="15"/>
        <v>1.342388283181412</v>
      </c>
      <c r="AP55" s="762">
        <f>AO55-AO86</f>
        <v>-0.35398278357451329</v>
      </c>
      <c r="AR55" s="324">
        <f t="shared" si="11"/>
        <v>-956249.69594379957</v>
      </c>
      <c r="AS55" s="439">
        <f t="shared" si="16"/>
        <v>0.40540956285666102</v>
      </c>
      <c r="AT55" s="764">
        <f>AS55-AS86</f>
        <v>-0.81050097778407126</v>
      </c>
      <c r="AV55" s="324">
        <f t="shared" si="13"/>
        <v>-546051.13594379951</v>
      </c>
      <c r="AW55" s="439">
        <f t="shared" si="17"/>
        <v>0.54421704706847995</v>
      </c>
      <c r="AX55" s="764">
        <f>AW55-AW86</f>
        <v>-1.5184184138380128</v>
      </c>
      <c r="AZ55" s="127" t="s">
        <v>60</v>
      </c>
      <c r="BA55" s="131" t="s">
        <v>64</v>
      </c>
      <c r="BC55" s="220">
        <f t="shared" si="14"/>
        <v>-1035808.81</v>
      </c>
      <c r="BD55" s="439">
        <f t="shared" si="18"/>
        <v>0.1354216354146115</v>
      </c>
      <c r="BE55" s="721" t="s">
        <v>454</v>
      </c>
      <c r="BF55" s="724">
        <f>BD55-BD86</f>
        <v>-0.64629188944424398</v>
      </c>
    </row>
    <row r="56" spans="1:58" s="4" customFormat="1" ht="13.5" customHeight="1" x14ac:dyDescent="0.3">
      <c r="A56" s="127" t="s">
        <v>60</v>
      </c>
      <c r="B56" s="131" t="s">
        <v>65</v>
      </c>
      <c r="C56" s="3"/>
      <c r="D56" s="203">
        <v>457061</v>
      </c>
      <c r="E56" s="202">
        <v>1791984</v>
      </c>
      <c r="G56" s="192">
        <f t="shared" si="7"/>
        <v>1334923</v>
      </c>
      <c r="H56" s="253">
        <f t="shared" si="8"/>
        <v>3.9206670444426455</v>
      </c>
      <c r="J56" s="203">
        <v>1734485</v>
      </c>
      <c r="K56" s="202">
        <f t="shared" si="9"/>
        <v>57499</v>
      </c>
      <c r="L56" s="31"/>
      <c r="M56" s="31"/>
      <c r="N56" s="127" t="s">
        <v>60</v>
      </c>
      <c r="O56" s="131" t="s">
        <v>65</v>
      </c>
      <c r="Q56" s="316">
        <v>2228020</v>
      </c>
      <c r="R56" s="335">
        <v>3736001</v>
      </c>
      <c r="T56" s="19">
        <v>2189364</v>
      </c>
      <c r="U56" s="342">
        <v>3708177</v>
      </c>
      <c r="V56" s="348"/>
      <c r="W56" s="338">
        <v>904517.27</v>
      </c>
      <c r="X56" s="340">
        <v>2270177.4</v>
      </c>
      <c r="Z56" s="127" t="s">
        <v>60</v>
      </c>
      <c r="AA56" s="131" t="s">
        <v>65</v>
      </c>
      <c r="AC56" s="203">
        <v>1734485</v>
      </c>
      <c r="AD56" s="345">
        <f t="shared" si="12"/>
        <v>1973692</v>
      </c>
      <c r="AF56" s="325">
        <v>3783969.3054982801</v>
      </c>
      <c r="AG56" s="329">
        <v>2346308.3054982801</v>
      </c>
      <c r="AH56" s="290">
        <v>1437661</v>
      </c>
      <c r="AK56" s="127" t="s">
        <v>60</v>
      </c>
      <c r="AL56" s="131" t="s">
        <v>65</v>
      </c>
      <c r="AN56" s="553">
        <f t="shared" si="10"/>
        <v>1518813</v>
      </c>
      <c r="AO56" s="439">
        <f t="shared" si="15"/>
        <v>1.6937233826809979</v>
      </c>
      <c r="AP56" s="761">
        <f>AO56-AO86</f>
        <v>-2.6476840749274366E-3</v>
      </c>
      <c r="AR56" s="324">
        <f t="shared" si="11"/>
        <v>75792.305498280097</v>
      </c>
      <c r="AS56" s="439">
        <f t="shared" si="16"/>
        <v>1.0204392361794705</v>
      </c>
      <c r="AT56" s="761">
        <f>AS56-AS86</f>
        <v>-0.19547130446126171</v>
      </c>
      <c r="AV56" s="324">
        <f t="shared" si="13"/>
        <v>1594605.3054982801</v>
      </c>
      <c r="AW56" s="439">
        <f t="shared" si="17"/>
        <v>1.7283417949223063</v>
      </c>
      <c r="AX56" s="762">
        <f>AW56-AW86</f>
        <v>-0.33429366598418642</v>
      </c>
      <c r="AZ56" s="127" t="s">
        <v>60</v>
      </c>
      <c r="BA56" s="131" t="s">
        <v>65</v>
      </c>
      <c r="BC56" s="220">
        <f t="shared" si="14"/>
        <v>-751703</v>
      </c>
      <c r="BD56" s="439">
        <f t="shared" si="18"/>
        <v>0.6566569104086849</v>
      </c>
      <c r="BE56" s="721" t="s">
        <v>454</v>
      </c>
      <c r="BF56" s="707">
        <f>BD56-BD86</f>
        <v>-0.12505661445017058</v>
      </c>
    </row>
    <row r="57" spans="1:58" s="4" customFormat="1" ht="13.5" customHeight="1" x14ac:dyDescent="0.3">
      <c r="A57" s="127" t="s">
        <v>60</v>
      </c>
      <c r="B57" s="131" t="s">
        <v>66</v>
      </c>
      <c r="C57" s="3"/>
      <c r="D57" s="203">
        <v>51995</v>
      </c>
      <c r="E57" s="202">
        <v>215821</v>
      </c>
      <c r="G57" s="192">
        <f t="shared" si="7"/>
        <v>163826</v>
      </c>
      <c r="H57" s="253">
        <f t="shared" si="8"/>
        <v>4.1508029618232518</v>
      </c>
      <c r="J57" s="203">
        <v>160576</v>
      </c>
      <c r="K57" s="202">
        <f t="shared" si="9"/>
        <v>55245</v>
      </c>
      <c r="L57" s="31"/>
      <c r="M57" s="31"/>
      <c r="N57" s="127" t="s">
        <v>60</v>
      </c>
      <c r="O57" s="131" t="s">
        <v>66</v>
      </c>
      <c r="Q57" s="317">
        <v>363103.62</v>
      </c>
      <c r="R57" s="335">
        <v>589280.94999999995</v>
      </c>
      <c r="T57" s="19">
        <v>363103.62</v>
      </c>
      <c r="U57" s="342">
        <v>575302.15</v>
      </c>
      <c r="V57" s="348"/>
      <c r="W57" s="338">
        <v>14275.51</v>
      </c>
      <c r="X57" s="340">
        <v>214410.17</v>
      </c>
      <c r="Z57" s="127" t="s">
        <v>60</v>
      </c>
      <c r="AA57" s="131" t="s">
        <v>66</v>
      </c>
      <c r="AC57" s="203">
        <v>160576</v>
      </c>
      <c r="AD57" s="345">
        <f t="shared" si="12"/>
        <v>414726.15</v>
      </c>
      <c r="AF57" s="325">
        <v>344999.98701705341</v>
      </c>
      <c r="AG57" s="329">
        <v>315624.98701705341</v>
      </c>
      <c r="AH57" s="290">
        <v>29375</v>
      </c>
      <c r="AK57" s="127" t="s">
        <v>60</v>
      </c>
      <c r="AL57" s="131" t="s">
        <v>66</v>
      </c>
      <c r="AN57" s="553">
        <f t="shared" si="10"/>
        <v>212198.53000000003</v>
      </c>
      <c r="AO57" s="439">
        <f t="shared" si="15"/>
        <v>1.5844021329228279</v>
      </c>
      <c r="AP57" s="761">
        <f>AO57-AO86</f>
        <v>-0.11196893383309736</v>
      </c>
      <c r="AR57" s="324">
        <f t="shared" si="11"/>
        <v>-230302.16298294661</v>
      </c>
      <c r="AS57" s="439">
        <f t="shared" si="16"/>
        <v>0.59968485606572719</v>
      </c>
      <c r="AT57" s="764">
        <f>AS57-AS86</f>
        <v>-0.61622568457500504</v>
      </c>
      <c r="AV57" s="324">
        <f t="shared" si="13"/>
        <v>-18103.632982946583</v>
      </c>
      <c r="AW57" s="439">
        <f t="shared" si="17"/>
        <v>0.95014196503205728</v>
      </c>
      <c r="AX57" s="764">
        <f>AW57-AW86</f>
        <v>-1.1124934958744355</v>
      </c>
      <c r="AZ57" s="127" t="s">
        <v>60</v>
      </c>
      <c r="BA57" s="131" t="s">
        <v>66</v>
      </c>
      <c r="BC57" s="220">
        <f t="shared" si="14"/>
        <v>-333728.62</v>
      </c>
      <c r="BD57" s="439">
        <f t="shared" si="18"/>
        <v>8.0899771806185794E-2</v>
      </c>
      <c r="BE57" s="721" t="s">
        <v>454</v>
      </c>
      <c r="BF57" s="724">
        <f>BD57-BD86</f>
        <v>-0.70081375305266969</v>
      </c>
    </row>
    <row r="58" spans="1:58" s="4" customFormat="1" ht="13.5" customHeight="1" x14ac:dyDescent="0.3">
      <c r="A58" s="127" t="s">
        <v>60</v>
      </c>
      <c r="B58" s="131" t="s">
        <v>67</v>
      </c>
      <c r="C58" s="3"/>
      <c r="D58" s="203">
        <v>137965</v>
      </c>
      <c r="E58" s="202">
        <v>262776</v>
      </c>
      <c r="G58" s="192">
        <f t="shared" si="7"/>
        <v>124811</v>
      </c>
      <c r="H58" s="253">
        <f t="shared" si="8"/>
        <v>1.9046569782191136</v>
      </c>
      <c r="J58" s="203">
        <v>307959</v>
      </c>
      <c r="K58" s="202">
        <f t="shared" si="9"/>
        <v>-45183</v>
      </c>
      <c r="L58" s="31"/>
      <c r="M58" s="31"/>
      <c r="N58" s="127" t="s">
        <v>60</v>
      </c>
      <c r="O58" s="131" t="s">
        <v>67</v>
      </c>
      <c r="Q58" s="316">
        <v>137964</v>
      </c>
      <c r="R58" s="336">
        <v>349556</v>
      </c>
      <c r="T58" s="19">
        <v>137964</v>
      </c>
      <c r="U58" s="343">
        <v>349556</v>
      </c>
      <c r="V58" s="349"/>
      <c r="W58" s="341">
        <v>137964</v>
      </c>
      <c r="X58" s="340">
        <v>349556</v>
      </c>
      <c r="Z58" s="127" t="s">
        <v>60</v>
      </c>
      <c r="AA58" s="131" t="s">
        <v>67</v>
      </c>
      <c r="AC58" s="203">
        <v>307959</v>
      </c>
      <c r="AD58" s="345">
        <f t="shared" si="12"/>
        <v>41597</v>
      </c>
      <c r="AF58" s="325">
        <v>599998.58776804863</v>
      </c>
      <c r="AG58" s="329">
        <v>472352.58776804863</v>
      </c>
      <c r="AH58" s="290">
        <v>127646</v>
      </c>
      <c r="AK58" s="127" t="s">
        <v>60</v>
      </c>
      <c r="AL58" s="131" t="s">
        <v>67</v>
      </c>
      <c r="AN58" s="553">
        <f t="shared" si="10"/>
        <v>211592</v>
      </c>
      <c r="AO58" s="439">
        <f t="shared" si="15"/>
        <v>2.5336754515670754</v>
      </c>
      <c r="AP58" s="759">
        <f>AO58-AO86</f>
        <v>0.8373043848111501</v>
      </c>
      <c r="AR58" s="324">
        <f t="shared" si="11"/>
        <v>250442.58776804863</v>
      </c>
      <c r="AS58" s="439">
        <f t="shared" si="16"/>
        <v>1.7164591303483523</v>
      </c>
      <c r="AT58" s="757">
        <f>AS58-AS86</f>
        <v>0.50054858970762006</v>
      </c>
      <c r="AV58" s="324">
        <f t="shared" si="13"/>
        <v>462034.58776804863</v>
      </c>
      <c r="AW58" s="439">
        <f t="shared" si="17"/>
        <v>4.3489503621817915</v>
      </c>
      <c r="AX58" s="759">
        <f>AW58-AW86</f>
        <v>2.2863149012752988</v>
      </c>
      <c r="AZ58" s="127" t="s">
        <v>60</v>
      </c>
      <c r="BA58" s="131" t="s">
        <v>67</v>
      </c>
      <c r="BC58" s="220">
        <f t="shared" si="14"/>
        <v>-10318</v>
      </c>
      <c r="BD58" s="439">
        <f t="shared" si="18"/>
        <v>0.92521237424255598</v>
      </c>
      <c r="BE58" s="568" t="s">
        <v>357</v>
      </c>
      <c r="BF58" s="705">
        <f>BD58-BD86</f>
        <v>0.1434988493837005</v>
      </c>
    </row>
    <row r="59" spans="1:58" s="4" customFormat="1" ht="13.5" customHeight="1" x14ac:dyDescent="0.3">
      <c r="A59" s="127" t="s">
        <v>68</v>
      </c>
      <c r="B59" s="131" t="s">
        <v>69</v>
      </c>
      <c r="C59" s="3"/>
      <c r="D59" s="203">
        <v>118590</v>
      </c>
      <c r="E59" s="202">
        <v>211257</v>
      </c>
      <c r="G59" s="192">
        <f t="shared" si="7"/>
        <v>92667</v>
      </c>
      <c r="H59" s="253">
        <f t="shared" si="8"/>
        <v>1.781406526688591</v>
      </c>
      <c r="J59" s="203">
        <v>167986</v>
      </c>
      <c r="K59" s="202">
        <f t="shared" si="9"/>
        <v>43271</v>
      </c>
      <c r="L59" s="31"/>
      <c r="M59" s="31"/>
      <c r="N59" s="127" t="s">
        <v>68</v>
      </c>
      <c r="O59" s="131" t="s">
        <v>69</v>
      </c>
      <c r="Q59" s="317">
        <v>226822.22999999998</v>
      </c>
      <c r="R59" s="335">
        <v>322592.94000000006</v>
      </c>
      <c r="T59" s="320">
        <v>226822.22999999998</v>
      </c>
      <c r="U59" s="342">
        <v>322592.94000000006</v>
      </c>
      <c r="V59" s="348"/>
      <c r="W59" s="338">
        <v>252565.05000000002</v>
      </c>
      <c r="X59" s="340">
        <v>348335.76</v>
      </c>
      <c r="Z59" s="127" t="s">
        <v>68</v>
      </c>
      <c r="AA59" s="131" t="s">
        <v>69</v>
      </c>
      <c r="AC59" s="203">
        <v>167986</v>
      </c>
      <c r="AD59" s="345">
        <f t="shared" si="12"/>
        <v>154606.94000000006</v>
      </c>
      <c r="AF59" s="325">
        <v>449999.61510856735</v>
      </c>
      <c r="AG59" s="329">
        <v>251869.61510856735</v>
      </c>
      <c r="AH59" s="290">
        <v>198130</v>
      </c>
      <c r="AK59" s="127" t="s">
        <v>68</v>
      </c>
      <c r="AL59" s="131" t="s">
        <v>69</v>
      </c>
      <c r="AN59" s="553">
        <f t="shared" si="10"/>
        <v>95770.710000000079</v>
      </c>
      <c r="AO59" s="439">
        <f t="shared" si="15"/>
        <v>1.4222280593925916</v>
      </c>
      <c r="AP59" s="762">
        <f>AO59-AO86</f>
        <v>-0.27414300736333375</v>
      </c>
      <c r="AR59" s="324">
        <f t="shared" si="11"/>
        <v>127406.67510856729</v>
      </c>
      <c r="AS59" s="439">
        <f t="shared" si="16"/>
        <v>1.3949456398784401</v>
      </c>
      <c r="AT59" s="755">
        <f>AS59-AS86</f>
        <v>0.17903509923770788</v>
      </c>
      <c r="AV59" s="324">
        <f t="shared" si="13"/>
        <v>223177.38510856737</v>
      </c>
      <c r="AW59" s="439">
        <f t="shared" si="17"/>
        <v>1.983930830362471</v>
      </c>
      <c r="AX59" s="761">
        <f>AW59-AW86</f>
        <v>-7.870463054402177E-2</v>
      </c>
      <c r="AZ59" s="127" t="s">
        <v>68</v>
      </c>
      <c r="BA59" s="131" t="s">
        <v>69</v>
      </c>
      <c r="BC59" s="220">
        <f t="shared" si="14"/>
        <v>-28692.229999999981</v>
      </c>
      <c r="BD59" s="439">
        <f t="shared" si="18"/>
        <v>0.87350344805268876</v>
      </c>
      <c r="BE59" s="569" t="s">
        <v>340</v>
      </c>
      <c r="BF59" s="704">
        <f>BD59-BD86</f>
        <v>9.1789923193833278E-2</v>
      </c>
    </row>
    <row r="60" spans="1:58" s="4" customFormat="1" ht="13.5" customHeight="1" x14ac:dyDescent="0.3">
      <c r="A60" s="127" t="s">
        <v>68</v>
      </c>
      <c r="B60" s="131" t="s">
        <v>70</v>
      </c>
      <c r="C60" s="3"/>
      <c r="D60" s="203">
        <v>75469</v>
      </c>
      <c r="E60" s="202">
        <v>244481</v>
      </c>
      <c r="G60" s="192">
        <f t="shared" si="7"/>
        <v>169012</v>
      </c>
      <c r="H60" s="253">
        <f t="shared" si="8"/>
        <v>3.2394890617339569</v>
      </c>
      <c r="J60" s="203">
        <v>161455</v>
      </c>
      <c r="K60" s="202">
        <f t="shared" si="9"/>
        <v>83026</v>
      </c>
      <c r="L60" s="31"/>
      <c r="M60" s="31"/>
      <c r="N60" s="127" t="s">
        <v>68</v>
      </c>
      <c r="O60" s="131" t="s">
        <v>70</v>
      </c>
      <c r="Q60" s="316">
        <v>161275.08000000002</v>
      </c>
      <c r="R60" s="336">
        <v>332418.56000000006</v>
      </c>
      <c r="T60" s="321">
        <v>161275.08000000002</v>
      </c>
      <c r="U60" s="343">
        <v>332418.56000000006</v>
      </c>
      <c r="V60" s="349"/>
      <c r="W60" s="341">
        <v>155551.84000000003</v>
      </c>
      <c r="X60" s="340">
        <v>327243.43000000005</v>
      </c>
      <c r="Z60" s="127" t="s">
        <v>68</v>
      </c>
      <c r="AA60" s="131" t="s">
        <v>70</v>
      </c>
      <c r="AC60" s="203">
        <v>161455</v>
      </c>
      <c r="AD60" s="345">
        <f t="shared" si="12"/>
        <v>170963.56000000006</v>
      </c>
      <c r="AF60" s="325">
        <v>485549.71385113656</v>
      </c>
      <c r="AG60" s="329">
        <v>254095.71385113656</v>
      </c>
      <c r="AH60" s="290">
        <v>231454</v>
      </c>
      <c r="AK60" s="127" t="s">
        <v>68</v>
      </c>
      <c r="AL60" s="131" t="s">
        <v>70</v>
      </c>
      <c r="AN60" s="553">
        <f t="shared" si="10"/>
        <v>171143.48000000004</v>
      </c>
      <c r="AO60" s="439">
        <f t="shared" si="15"/>
        <v>2.0611898626867835</v>
      </c>
      <c r="AP60" s="756">
        <f>AO60-AO86</f>
        <v>0.3648187959308582</v>
      </c>
      <c r="AR60" s="324">
        <f t="shared" si="11"/>
        <v>153131.15385113651</v>
      </c>
      <c r="AS60" s="439">
        <f t="shared" si="16"/>
        <v>1.4606576535652416</v>
      </c>
      <c r="AT60" s="756">
        <f>AS60-AS86</f>
        <v>0.24474711292450935</v>
      </c>
      <c r="AV60" s="324">
        <f t="shared" si="13"/>
        <v>324274.63385113655</v>
      </c>
      <c r="AW60" s="439">
        <f t="shared" si="17"/>
        <v>3.0106927483845398</v>
      </c>
      <c r="AX60" s="759">
        <f>AW60-AW86</f>
        <v>0.94805728747804707</v>
      </c>
      <c r="AZ60" s="127" t="s">
        <v>68</v>
      </c>
      <c r="BA60" s="131" t="s">
        <v>70</v>
      </c>
      <c r="BC60" s="220">
        <f t="shared" si="14"/>
        <v>70178.919999999984</v>
      </c>
      <c r="BD60" s="439">
        <f t="shared" si="18"/>
        <v>1.4351504274559961</v>
      </c>
      <c r="BE60" s="570" t="s">
        <v>453</v>
      </c>
      <c r="BF60" s="545">
        <f>BD60-BD86</f>
        <v>0.6534369025971406</v>
      </c>
    </row>
    <row r="61" spans="1:58" s="4" customFormat="1" ht="13.5" customHeight="1" x14ac:dyDescent="0.3">
      <c r="A61" s="127" t="s">
        <v>68</v>
      </c>
      <c r="B61" s="131" t="s">
        <v>71</v>
      </c>
      <c r="C61" s="3"/>
      <c r="D61" s="203">
        <v>99325</v>
      </c>
      <c r="E61" s="202">
        <v>303412</v>
      </c>
      <c r="G61" s="192">
        <f t="shared" si="7"/>
        <v>204087</v>
      </c>
      <c r="H61" s="253">
        <f t="shared" si="8"/>
        <v>3.0547394915680846</v>
      </c>
      <c r="J61" s="203">
        <v>240312</v>
      </c>
      <c r="K61" s="202">
        <f t="shared" si="9"/>
        <v>63100</v>
      </c>
      <c r="L61" s="31"/>
      <c r="M61" s="31"/>
      <c r="N61" s="127" t="s">
        <v>68</v>
      </c>
      <c r="O61" s="131" t="s">
        <v>71</v>
      </c>
      <c r="Q61" s="316">
        <v>188692</v>
      </c>
      <c r="R61" s="336">
        <v>502570</v>
      </c>
      <c r="T61" s="321">
        <v>188692</v>
      </c>
      <c r="U61" s="343">
        <v>502570</v>
      </c>
      <c r="V61" s="349"/>
      <c r="W61" s="341">
        <v>188692</v>
      </c>
      <c r="X61" s="340">
        <v>502570</v>
      </c>
      <c r="Z61" s="127" t="s">
        <v>68</v>
      </c>
      <c r="AA61" s="131" t="s">
        <v>71</v>
      </c>
      <c r="AC61" s="203">
        <v>240312</v>
      </c>
      <c r="AD61" s="345">
        <f t="shared" si="12"/>
        <v>262258</v>
      </c>
      <c r="AF61" s="325">
        <v>779264.55338367377</v>
      </c>
      <c r="AG61" s="329">
        <v>480226.55338367372</v>
      </c>
      <c r="AH61" s="290">
        <v>299038</v>
      </c>
      <c r="AK61" s="127" t="s">
        <v>68</v>
      </c>
      <c r="AL61" s="131" t="s">
        <v>71</v>
      </c>
      <c r="AN61" s="553">
        <f t="shared" si="10"/>
        <v>313878</v>
      </c>
      <c r="AO61" s="439">
        <f t="shared" si="15"/>
        <v>2.6634409513916859</v>
      </c>
      <c r="AP61" s="759">
        <f>AO61-AO86</f>
        <v>0.9670698846357606</v>
      </c>
      <c r="AR61" s="324">
        <f t="shared" si="11"/>
        <v>276694.55338367377</v>
      </c>
      <c r="AS61" s="439">
        <f t="shared" si="16"/>
        <v>1.5505592323132573</v>
      </c>
      <c r="AT61" s="756">
        <f>AS61-AS86</f>
        <v>0.33464869167252509</v>
      </c>
      <c r="AV61" s="324">
        <f t="shared" si="13"/>
        <v>590572.55338367377</v>
      </c>
      <c r="AW61" s="439">
        <f t="shared" si="17"/>
        <v>4.1298229569015845</v>
      </c>
      <c r="AX61" s="759">
        <f>AW61-AW86</f>
        <v>2.0671874959950918</v>
      </c>
      <c r="AZ61" s="127" t="s">
        <v>68</v>
      </c>
      <c r="BA61" s="131" t="s">
        <v>71</v>
      </c>
      <c r="BC61" s="220">
        <f t="shared" si="14"/>
        <v>110346</v>
      </c>
      <c r="BD61" s="439">
        <f t="shared" si="18"/>
        <v>1.5847942679074896</v>
      </c>
      <c r="BE61" s="570" t="s">
        <v>453</v>
      </c>
      <c r="BF61" s="545">
        <f>BD61-BD86</f>
        <v>0.80308074304863408</v>
      </c>
    </row>
    <row r="62" spans="1:58" s="4" customFormat="1" ht="13.5" customHeight="1" x14ac:dyDescent="0.3">
      <c r="A62" s="127" t="s">
        <v>68</v>
      </c>
      <c r="B62" s="131" t="s">
        <v>72</v>
      </c>
      <c r="C62" s="3"/>
      <c r="D62" s="203">
        <v>187398</v>
      </c>
      <c r="E62" s="202">
        <v>433636</v>
      </c>
      <c r="G62" s="192">
        <f t="shared" si="7"/>
        <v>246238</v>
      </c>
      <c r="H62" s="253">
        <f t="shared" si="8"/>
        <v>2.3139841407058772</v>
      </c>
      <c r="J62" s="203">
        <v>394357</v>
      </c>
      <c r="K62" s="202">
        <f t="shared" si="9"/>
        <v>39279</v>
      </c>
      <c r="L62" s="31"/>
      <c r="M62" s="31"/>
      <c r="N62" s="127" t="s">
        <v>68</v>
      </c>
      <c r="O62" s="131" t="s">
        <v>72</v>
      </c>
      <c r="Q62" s="316">
        <v>1197879.69</v>
      </c>
      <c r="R62" s="336">
        <v>1414280.68</v>
      </c>
      <c r="T62" s="321">
        <v>1193799.69</v>
      </c>
      <c r="U62" s="343">
        <v>1414280.68</v>
      </c>
      <c r="V62" s="349"/>
      <c r="W62" s="341">
        <v>403114.0299999998</v>
      </c>
      <c r="X62" s="340">
        <v>580456.65999999992</v>
      </c>
      <c r="Z62" s="127" t="s">
        <v>68</v>
      </c>
      <c r="AA62" s="131" t="s">
        <v>72</v>
      </c>
      <c r="AC62" s="203">
        <v>394357</v>
      </c>
      <c r="AD62" s="345">
        <f t="shared" si="12"/>
        <v>1019923.6799999999</v>
      </c>
      <c r="AF62" s="325">
        <v>1024997.4894437321</v>
      </c>
      <c r="AG62" s="329">
        <v>618562.48944373208</v>
      </c>
      <c r="AH62" s="290">
        <v>406435</v>
      </c>
      <c r="AK62" s="127" t="s">
        <v>68</v>
      </c>
      <c r="AL62" s="131" t="s">
        <v>72</v>
      </c>
      <c r="AN62" s="553">
        <f t="shared" si="10"/>
        <v>220480.99</v>
      </c>
      <c r="AO62" s="439">
        <f t="shared" si="15"/>
        <v>1.1846884295974311</v>
      </c>
      <c r="AP62" s="763">
        <f>AO62-AO86</f>
        <v>-0.51168263715849416</v>
      </c>
      <c r="AR62" s="324">
        <f t="shared" si="11"/>
        <v>-389283.19055626786</v>
      </c>
      <c r="AS62" s="439">
        <f t="shared" si="16"/>
        <v>0.72474827941772646</v>
      </c>
      <c r="AT62" s="763">
        <f>AS62-AS86</f>
        <v>-0.49116226122300577</v>
      </c>
      <c r="AV62" s="324">
        <f t="shared" si="13"/>
        <v>-168802.20055626787</v>
      </c>
      <c r="AW62" s="439">
        <f t="shared" si="17"/>
        <v>0.85860090099682651</v>
      </c>
      <c r="AX62" s="764">
        <f>AW62-AW86</f>
        <v>-1.2040345599096662</v>
      </c>
      <c r="AZ62" s="127" t="s">
        <v>68</v>
      </c>
      <c r="BA62" s="131" t="s">
        <v>72</v>
      </c>
      <c r="BC62" s="220">
        <f t="shared" si="14"/>
        <v>-787364.69</v>
      </c>
      <c r="BD62" s="439">
        <f t="shared" si="18"/>
        <v>0.34045493846626818</v>
      </c>
      <c r="BE62" s="721" t="s">
        <v>454</v>
      </c>
      <c r="BF62" s="724">
        <f>BD62-BD86</f>
        <v>-0.4412585863925873</v>
      </c>
    </row>
    <row r="63" spans="1:58" s="4" customFormat="1" ht="13.5" customHeight="1" x14ac:dyDescent="0.3">
      <c r="A63" s="127" t="s">
        <v>73</v>
      </c>
      <c r="B63" s="131" t="s">
        <v>74</v>
      </c>
      <c r="C63" s="3"/>
      <c r="D63" s="203">
        <v>19011</v>
      </c>
      <c r="E63" s="202">
        <v>84975</v>
      </c>
      <c r="G63" s="192">
        <f t="shared" si="7"/>
        <v>65964</v>
      </c>
      <c r="H63" s="253">
        <f t="shared" si="8"/>
        <v>4.469780653305981</v>
      </c>
      <c r="J63" s="203">
        <v>79567</v>
      </c>
      <c r="K63" s="202">
        <f t="shared" si="9"/>
        <v>5408</v>
      </c>
      <c r="L63" s="31"/>
      <c r="M63" s="31"/>
      <c r="N63" s="127" t="s">
        <v>73</v>
      </c>
      <c r="O63" s="131" t="s">
        <v>74</v>
      </c>
      <c r="Q63" s="317">
        <v>28567.62</v>
      </c>
      <c r="R63" s="335">
        <v>102302.67</v>
      </c>
      <c r="T63" s="320">
        <v>28567.62</v>
      </c>
      <c r="U63" s="342">
        <v>102302.67</v>
      </c>
      <c r="V63" s="348"/>
      <c r="W63" s="338">
        <v>28567.62</v>
      </c>
      <c r="X63" s="340">
        <v>102302.67</v>
      </c>
      <c r="Z63" s="127" t="s">
        <v>73</v>
      </c>
      <c r="AA63" s="131" t="s">
        <v>74</v>
      </c>
      <c r="AC63" s="203">
        <v>79567</v>
      </c>
      <c r="AD63" s="345">
        <f t="shared" si="12"/>
        <v>22735.67</v>
      </c>
      <c r="AF63" s="325">
        <v>203580.22437360953</v>
      </c>
      <c r="AG63" s="329">
        <v>132363.22437360953</v>
      </c>
      <c r="AH63" s="290">
        <v>71217</v>
      </c>
      <c r="AK63" s="127" t="s">
        <v>73</v>
      </c>
      <c r="AL63" s="131" t="s">
        <v>74</v>
      </c>
      <c r="AN63" s="553">
        <f t="shared" si="10"/>
        <v>73735.05</v>
      </c>
      <c r="AO63" s="439">
        <f t="shared" si="15"/>
        <v>3.5810708067385382</v>
      </c>
      <c r="AP63" s="759">
        <f>AO63-AO86</f>
        <v>1.8846997399826129</v>
      </c>
      <c r="AR63" s="324">
        <f t="shared" si="11"/>
        <v>101277.55437360953</v>
      </c>
      <c r="AS63" s="439">
        <f t="shared" si="16"/>
        <v>1.9899795809201219</v>
      </c>
      <c r="AT63" s="759">
        <f>AS63-AS86</f>
        <v>0.77406904027938972</v>
      </c>
      <c r="AV63" s="324">
        <f t="shared" si="13"/>
        <v>175012.60437360953</v>
      </c>
      <c r="AW63" s="439">
        <f t="shared" si="17"/>
        <v>7.126257783238839</v>
      </c>
      <c r="AX63" s="759">
        <f>AW63-AW86</f>
        <v>5.0636223223323462</v>
      </c>
      <c r="AZ63" s="127" t="s">
        <v>73</v>
      </c>
      <c r="BA63" s="131" t="s">
        <v>74</v>
      </c>
      <c r="BC63" s="220">
        <f t="shared" si="14"/>
        <v>42649.380000000005</v>
      </c>
      <c r="BD63" s="439">
        <f t="shared" si="18"/>
        <v>2.4929273072100511</v>
      </c>
      <c r="BE63" s="570" t="s">
        <v>453</v>
      </c>
      <c r="BF63" s="545">
        <f>BD63-BD86</f>
        <v>1.7112137823511957</v>
      </c>
    </row>
    <row r="64" spans="1:58" s="4" customFormat="1" ht="13.5" customHeight="1" x14ac:dyDescent="0.3">
      <c r="A64" s="128" t="s">
        <v>73</v>
      </c>
      <c r="B64" s="131" t="s">
        <v>75</v>
      </c>
      <c r="C64" s="3"/>
      <c r="D64" s="192">
        <v>0</v>
      </c>
      <c r="E64" s="202">
        <v>2410</v>
      </c>
      <c r="G64" s="192">
        <f t="shared" si="7"/>
        <v>2410</v>
      </c>
      <c r="H64" s="254" t="s">
        <v>217</v>
      </c>
      <c r="J64" s="203">
        <v>4341</v>
      </c>
      <c r="K64" s="202">
        <f t="shared" si="9"/>
        <v>-1931</v>
      </c>
      <c r="L64" s="31"/>
      <c r="M64" s="31"/>
      <c r="N64" s="128" t="s">
        <v>73</v>
      </c>
      <c r="O64" s="131" t="s">
        <v>75</v>
      </c>
      <c r="Q64" s="318">
        <v>0</v>
      </c>
      <c r="R64" s="335">
        <v>0</v>
      </c>
      <c r="T64" s="322">
        <v>0</v>
      </c>
      <c r="U64" s="342">
        <v>0</v>
      </c>
      <c r="V64" s="348"/>
      <c r="W64" s="338">
        <v>0</v>
      </c>
      <c r="X64" s="340">
        <v>0</v>
      </c>
      <c r="Z64" s="128" t="s">
        <v>73</v>
      </c>
      <c r="AA64" s="131" t="s">
        <v>75</v>
      </c>
      <c r="AC64" s="203">
        <v>4341</v>
      </c>
      <c r="AD64" s="345">
        <f t="shared" si="12"/>
        <v>-4341</v>
      </c>
      <c r="AF64" s="325">
        <v>4816.715443956844</v>
      </c>
      <c r="AG64" s="329">
        <v>4347.715443956844</v>
      </c>
      <c r="AH64" s="290">
        <v>469</v>
      </c>
      <c r="AK64" s="128" t="s">
        <v>73</v>
      </c>
      <c r="AL64" s="131" t="s">
        <v>75</v>
      </c>
      <c r="AN64" s="553">
        <f t="shared" si="10"/>
        <v>0</v>
      </c>
      <c r="AO64" s="439" t="s">
        <v>353</v>
      </c>
      <c r="AP64" s="549"/>
      <c r="AR64" s="324">
        <f t="shared" si="11"/>
        <v>4816.715443956844</v>
      </c>
      <c r="AS64" s="439" t="s">
        <v>355</v>
      </c>
      <c r="AT64" s="552"/>
      <c r="AV64" s="324">
        <f t="shared" si="13"/>
        <v>4816.715443956844</v>
      </c>
      <c r="AW64" s="439" t="s">
        <v>354</v>
      </c>
      <c r="AX64" s="552"/>
      <c r="AZ64" s="128" t="s">
        <v>73</v>
      </c>
      <c r="BA64" s="131" t="s">
        <v>75</v>
      </c>
      <c r="BC64" s="220">
        <f t="shared" si="14"/>
        <v>469</v>
      </c>
      <c r="BD64" s="439" t="s">
        <v>354</v>
      </c>
      <c r="BE64" s="565"/>
      <c r="BF64" s="507" t="s">
        <v>457</v>
      </c>
    </row>
    <row r="65" spans="1:58" s="4" customFormat="1" ht="13.5" customHeight="1" x14ac:dyDescent="0.3">
      <c r="A65" s="128" t="s">
        <v>73</v>
      </c>
      <c r="B65" s="131" t="s">
        <v>76</v>
      </c>
      <c r="C65" s="3"/>
      <c r="D65" s="203">
        <v>121720</v>
      </c>
      <c r="E65" s="202">
        <v>873198</v>
      </c>
      <c r="G65" s="192">
        <f t="shared" si="7"/>
        <v>751478</v>
      </c>
      <c r="H65" s="253">
        <f t="shared" si="8"/>
        <v>7.1738251725271116</v>
      </c>
      <c r="J65" s="203">
        <v>983553</v>
      </c>
      <c r="K65" s="202">
        <f t="shared" si="9"/>
        <v>-110355</v>
      </c>
      <c r="L65" s="31"/>
      <c r="M65" s="31"/>
      <c r="N65" s="128" t="s">
        <v>73</v>
      </c>
      <c r="O65" s="131" t="s">
        <v>76</v>
      </c>
      <c r="Q65" s="317">
        <v>1574516.3199999998</v>
      </c>
      <c r="R65" s="335">
        <v>2260789.1199999996</v>
      </c>
      <c r="T65" s="320">
        <v>1275073.42</v>
      </c>
      <c r="U65" s="342">
        <v>2260789.1199999996</v>
      </c>
      <c r="V65" s="348"/>
      <c r="W65" s="338">
        <v>414962.06999999995</v>
      </c>
      <c r="X65" s="340">
        <v>1117752.56</v>
      </c>
      <c r="Z65" s="128" t="s">
        <v>73</v>
      </c>
      <c r="AA65" s="131" t="s">
        <v>76</v>
      </c>
      <c r="AC65" s="203">
        <v>983553</v>
      </c>
      <c r="AD65" s="345">
        <f t="shared" si="12"/>
        <v>1277236.1199999996</v>
      </c>
      <c r="AF65" s="325">
        <v>1975996.2444866418</v>
      </c>
      <c r="AG65" s="329">
        <v>1595996.2444866418</v>
      </c>
      <c r="AH65" s="290">
        <v>380000</v>
      </c>
      <c r="AK65" s="128" t="s">
        <v>73</v>
      </c>
      <c r="AL65" s="131" t="s">
        <v>76</v>
      </c>
      <c r="AN65" s="553">
        <f t="shared" si="10"/>
        <v>985715.69999999972</v>
      </c>
      <c r="AO65" s="439">
        <f t="shared" ref="AO65:AO86" si="19">U65/T65</f>
        <v>1.7730658364755183</v>
      </c>
      <c r="AP65" s="755">
        <f>AO65-AO86</f>
        <v>7.6694769719592992E-2</v>
      </c>
      <c r="AR65" s="324">
        <f t="shared" si="11"/>
        <v>-284792.87551335781</v>
      </c>
      <c r="AS65" s="439">
        <f t="shared" ref="AS65:AS86" si="20">AF65/U65</f>
        <v>0.87402943821962575</v>
      </c>
      <c r="AT65" s="762">
        <f>AS65-AS86</f>
        <v>-0.34188110242110648</v>
      </c>
      <c r="AV65" s="324">
        <f t="shared" si="13"/>
        <v>700922.82448664191</v>
      </c>
      <c r="AW65" s="439">
        <f t="shared" ref="AW65:AW86" si="21">AF65/T65</f>
        <v>1.549711736981108</v>
      </c>
      <c r="AX65" s="763">
        <f>AW65-AW86</f>
        <v>-0.51292372392538477</v>
      </c>
      <c r="AZ65" s="128" t="s">
        <v>73</v>
      </c>
      <c r="BA65" s="131" t="s">
        <v>76</v>
      </c>
      <c r="BC65" s="220">
        <f t="shared" si="14"/>
        <v>-895073.41999999993</v>
      </c>
      <c r="BD65" s="439">
        <f t="shared" ref="BD65:BD86" si="22">AH65/T65</f>
        <v>0.29802205429080314</v>
      </c>
      <c r="BE65" s="721" t="s">
        <v>454</v>
      </c>
      <c r="BF65" s="724">
        <f>BD65-BD86</f>
        <v>-0.48369147056805234</v>
      </c>
    </row>
    <row r="66" spans="1:58" s="4" customFormat="1" ht="13.5" customHeight="1" x14ac:dyDescent="0.3">
      <c r="A66" s="127" t="s">
        <v>77</v>
      </c>
      <c r="B66" s="131" t="s">
        <v>78</v>
      </c>
      <c r="C66" s="3"/>
      <c r="D66" s="203">
        <v>133374</v>
      </c>
      <c r="E66" s="202">
        <v>515428</v>
      </c>
      <c r="G66" s="192">
        <f t="shared" si="7"/>
        <v>382054</v>
      </c>
      <c r="H66" s="253">
        <f t="shared" si="8"/>
        <v>3.8645313179480261</v>
      </c>
      <c r="J66" s="203">
        <v>474373</v>
      </c>
      <c r="K66" s="202">
        <f t="shared" si="9"/>
        <v>41055</v>
      </c>
      <c r="L66" s="31"/>
      <c r="M66" s="31"/>
      <c r="N66" s="127" t="s">
        <v>77</v>
      </c>
      <c r="O66" s="131" t="s">
        <v>78</v>
      </c>
      <c r="Q66" s="317">
        <v>263701</v>
      </c>
      <c r="R66" s="335">
        <v>713520</v>
      </c>
      <c r="T66" s="19">
        <v>263701</v>
      </c>
      <c r="U66" s="342">
        <v>713520</v>
      </c>
      <c r="V66" s="348"/>
      <c r="W66" s="338">
        <v>263701</v>
      </c>
      <c r="X66" s="340">
        <v>713520</v>
      </c>
      <c r="Z66" s="127" t="s">
        <v>77</v>
      </c>
      <c r="AA66" s="131" t="s">
        <v>78</v>
      </c>
      <c r="AC66" s="203">
        <v>474373</v>
      </c>
      <c r="AD66" s="345">
        <f t="shared" si="12"/>
        <v>239147</v>
      </c>
      <c r="AF66" s="325">
        <v>922541.54113801068</v>
      </c>
      <c r="AG66" s="329">
        <v>632910.54113801068</v>
      </c>
      <c r="AH66" s="290">
        <v>289631</v>
      </c>
      <c r="AK66" s="127" t="s">
        <v>77</v>
      </c>
      <c r="AL66" s="131" t="s">
        <v>78</v>
      </c>
      <c r="AN66" s="553">
        <f t="shared" si="10"/>
        <v>449819</v>
      </c>
      <c r="AO66" s="439">
        <f t="shared" si="19"/>
        <v>2.7057917869101749</v>
      </c>
      <c r="AP66" s="759">
        <f>AO66-AO86</f>
        <v>1.0094207201542496</v>
      </c>
      <c r="AR66" s="324">
        <f t="shared" si="11"/>
        <v>209021.54113801068</v>
      </c>
      <c r="AS66" s="439">
        <f t="shared" si="20"/>
        <v>1.2929441937689352</v>
      </c>
      <c r="AT66" s="755">
        <f>AS66-AS86</f>
        <v>7.7033653128202983E-2</v>
      </c>
      <c r="AV66" s="324">
        <f t="shared" si="13"/>
        <v>658840.54113801068</v>
      </c>
      <c r="AW66" s="439">
        <f t="shared" si="21"/>
        <v>3.4984377804331825</v>
      </c>
      <c r="AX66" s="759">
        <f>AW66-AW86</f>
        <v>1.4358023195266898</v>
      </c>
      <c r="AZ66" s="127" t="s">
        <v>77</v>
      </c>
      <c r="BA66" s="131" t="s">
        <v>78</v>
      </c>
      <c r="BC66" s="220">
        <f t="shared" si="14"/>
        <v>25930</v>
      </c>
      <c r="BD66" s="439">
        <f t="shared" si="22"/>
        <v>1.0983310643493958</v>
      </c>
      <c r="BE66" s="718" t="s">
        <v>451</v>
      </c>
      <c r="BF66" s="545">
        <f>BD66-BD86</f>
        <v>0.31661753949054028</v>
      </c>
    </row>
    <row r="67" spans="1:58" s="4" customFormat="1" ht="13.5" customHeight="1" x14ac:dyDescent="0.3">
      <c r="A67" s="127" t="s">
        <v>77</v>
      </c>
      <c r="B67" s="131" t="s">
        <v>79</v>
      </c>
      <c r="C67" s="3"/>
      <c r="D67" s="203">
        <v>64616</v>
      </c>
      <c r="E67" s="202">
        <v>285915</v>
      </c>
      <c r="G67" s="192">
        <f t="shared" si="7"/>
        <v>221299</v>
      </c>
      <c r="H67" s="253">
        <f t="shared" si="8"/>
        <v>4.4248328587346784</v>
      </c>
      <c r="J67" s="203">
        <v>207396</v>
      </c>
      <c r="K67" s="202">
        <f t="shared" si="9"/>
        <v>78519</v>
      </c>
      <c r="L67" s="31"/>
      <c r="M67" s="31"/>
      <c r="N67" s="127" t="s">
        <v>77</v>
      </c>
      <c r="O67" s="131" t="s">
        <v>79</v>
      </c>
      <c r="Q67" s="317">
        <v>121966.5</v>
      </c>
      <c r="R67" s="335">
        <v>378153.54</v>
      </c>
      <c r="T67" s="19">
        <v>121966.5</v>
      </c>
      <c r="U67" s="342">
        <v>378153.54</v>
      </c>
      <c r="V67" s="348"/>
      <c r="W67" s="338">
        <v>106923.57</v>
      </c>
      <c r="X67" s="340">
        <v>371879.43</v>
      </c>
      <c r="Z67" s="127" t="s">
        <v>77</v>
      </c>
      <c r="AA67" s="131" t="s">
        <v>79</v>
      </c>
      <c r="AC67" s="203">
        <v>207396</v>
      </c>
      <c r="AD67" s="345">
        <f t="shared" si="12"/>
        <v>170757.53999999998</v>
      </c>
      <c r="AF67" s="325">
        <v>735220.35737907258</v>
      </c>
      <c r="AG67" s="329">
        <v>330330.35737907258</v>
      </c>
      <c r="AH67" s="290">
        <v>404890</v>
      </c>
      <c r="AK67" s="127" t="s">
        <v>77</v>
      </c>
      <c r="AL67" s="131" t="s">
        <v>79</v>
      </c>
      <c r="AN67" s="553">
        <f t="shared" si="10"/>
        <v>256187.03999999998</v>
      </c>
      <c r="AO67" s="439">
        <f t="shared" si="19"/>
        <v>3.1004705390414578</v>
      </c>
      <c r="AP67" s="759">
        <f>AO67-AO86</f>
        <v>1.4040994722855324</v>
      </c>
      <c r="AR67" s="324">
        <f t="shared" si="11"/>
        <v>357066.8173790726</v>
      </c>
      <c r="AS67" s="439">
        <f t="shared" si="20"/>
        <v>1.944237669648875</v>
      </c>
      <c r="AT67" s="759">
        <f>AS67-AS86</f>
        <v>0.72832712900814278</v>
      </c>
      <c r="AV67" s="324">
        <f t="shared" si="13"/>
        <v>613253.85737907258</v>
      </c>
      <c r="AW67" s="439">
        <f t="shared" si="21"/>
        <v>6.0280516156409556</v>
      </c>
      <c r="AX67" s="759">
        <f>AW67-AW86</f>
        <v>3.9654161547344629</v>
      </c>
      <c r="AZ67" s="127" t="s">
        <v>77</v>
      </c>
      <c r="BA67" s="131" t="s">
        <v>79</v>
      </c>
      <c r="BC67" s="220">
        <f t="shared" si="14"/>
        <v>282923.5</v>
      </c>
      <c r="BD67" s="439">
        <f t="shared" si="22"/>
        <v>3.3196820438399071</v>
      </c>
      <c r="BE67" s="570" t="s">
        <v>453</v>
      </c>
      <c r="BF67" s="545">
        <f>BD67-BD86</f>
        <v>2.5379685189810517</v>
      </c>
    </row>
    <row r="68" spans="1:58" s="4" customFormat="1" ht="13.5" customHeight="1" x14ac:dyDescent="0.3">
      <c r="A68" s="127" t="s">
        <v>77</v>
      </c>
      <c r="B68" s="131" t="s">
        <v>80</v>
      </c>
      <c r="C68" s="3"/>
      <c r="D68" s="203">
        <v>47978</v>
      </c>
      <c r="E68" s="202">
        <v>170092</v>
      </c>
      <c r="G68" s="192">
        <f t="shared" si="7"/>
        <v>122114</v>
      </c>
      <c r="H68" s="253">
        <f t="shared" si="8"/>
        <v>3.5452082204343656</v>
      </c>
      <c r="J68" s="203">
        <v>132787</v>
      </c>
      <c r="K68" s="202">
        <f t="shared" si="9"/>
        <v>37305</v>
      </c>
      <c r="L68" s="31"/>
      <c r="M68" s="31"/>
      <c r="N68" s="127" t="s">
        <v>77</v>
      </c>
      <c r="O68" s="131" t="s">
        <v>80</v>
      </c>
      <c r="Q68" s="317">
        <v>110041</v>
      </c>
      <c r="R68" s="335">
        <v>240788</v>
      </c>
      <c r="T68" s="19">
        <v>110041</v>
      </c>
      <c r="U68" s="342">
        <v>240788</v>
      </c>
      <c r="V68" s="348"/>
      <c r="W68" s="338">
        <v>110041</v>
      </c>
      <c r="X68" s="340">
        <v>240788</v>
      </c>
      <c r="Z68" s="127" t="s">
        <v>77</v>
      </c>
      <c r="AA68" s="131" t="s">
        <v>80</v>
      </c>
      <c r="AC68" s="203">
        <v>132787</v>
      </c>
      <c r="AD68" s="345">
        <f t="shared" si="12"/>
        <v>108001</v>
      </c>
      <c r="AF68" s="325">
        <v>374999.57896519708</v>
      </c>
      <c r="AG68" s="329">
        <v>192601.57896519711</v>
      </c>
      <c r="AH68" s="290">
        <v>182398</v>
      </c>
      <c r="AK68" s="127" t="s">
        <v>77</v>
      </c>
      <c r="AL68" s="131" t="s">
        <v>80</v>
      </c>
      <c r="AN68" s="553">
        <f t="shared" si="10"/>
        <v>130747</v>
      </c>
      <c r="AO68" s="439">
        <f t="shared" si="19"/>
        <v>2.1881662289510273</v>
      </c>
      <c r="AP68" s="757">
        <f>AO68-AO86</f>
        <v>0.491795162195102</v>
      </c>
      <c r="AR68" s="324">
        <f t="shared" si="11"/>
        <v>134211.57896519708</v>
      </c>
      <c r="AS68" s="439">
        <f t="shared" si="20"/>
        <v>1.5573848321560755</v>
      </c>
      <c r="AT68" s="756">
        <f>AS68-AS86</f>
        <v>0.34147429151534325</v>
      </c>
      <c r="AV68" s="324">
        <f t="shared" si="13"/>
        <v>264958.57896519708</v>
      </c>
      <c r="AW68" s="439">
        <f t="shared" si="21"/>
        <v>3.4078168952044883</v>
      </c>
      <c r="AX68" s="759">
        <f>AW68-AW86</f>
        <v>1.3451814342979955</v>
      </c>
      <c r="AZ68" s="127" t="s">
        <v>77</v>
      </c>
      <c r="BA68" s="131" t="s">
        <v>80</v>
      </c>
      <c r="BC68" s="220">
        <f t="shared" si="14"/>
        <v>72357</v>
      </c>
      <c r="BD68" s="439">
        <f t="shared" si="22"/>
        <v>1.6575458238292999</v>
      </c>
      <c r="BE68" s="570" t="s">
        <v>453</v>
      </c>
      <c r="BF68" s="545">
        <f>BD68-BD86</f>
        <v>0.87583229897044446</v>
      </c>
    </row>
    <row r="69" spans="1:58" s="4" customFormat="1" ht="13.5" customHeight="1" x14ac:dyDescent="0.3">
      <c r="A69" s="127" t="s">
        <v>77</v>
      </c>
      <c r="B69" s="131" t="s">
        <v>81</v>
      </c>
      <c r="C69" s="3"/>
      <c r="D69" s="203">
        <v>27897</v>
      </c>
      <c r="E69" s="202">
        <v>94930</v>
      </c>
      <c r="G69" s="192">
        <f t="shared" si="7"/>
        <v>67033</v>
      </c>
      <c r="H69" s="253">
        <f t="shared" si="8"/>
        <v>3.4028748610961754</v>
      </c>
      <c r="J69" s="203">
        <v>87408</v>
      </c>
      <c r="K69" s="202">
        <f t="shared" si="9"/>
        <v>7522</v>
      </c>
      <c r="L69" s="31"/>
      <c r="M69" s="31"/>
      <c r="N69" s="127" t="s">
        <v>77</v>
      </c>
      <c r="O69" s="131" t="s">
        <v>81</v>
      </c>
      <c r="Q69" s="317">
        <v>48900.41</v>
      </c>
      <c r="R69" s="335">
        <v>143457.71000000002</v>
      </c>
      <c r="T69" s="320">
        <v>48900.41</v>
      </c>
      <c r="U69" s="342">
        <v>143457.71000000002</v>
      </c>
      <c r="V69" s="348"/>
      <c r="W69" s="338">
        <v>48900.41</v>
      </c>
      <c r="X69" s="340">
        <v>143457.71</v>
      </c>
      <c r="Z69" s="127" t="s">
        <v>77</v>
      </c>
      <c r="AA69" s="131" t="s">
        <v>81</v>
      </c>
      <c r="AC69" s="203">
        <v>87408</v>
      </c>
      <c r="AD69" s="345">
        <f t="shared" si="12"/>
        <v>56049.710000000021</v>
      </c>
      <c r="AF69" s="325">
        <v>215000.02095387297</v>
      </c>
      <c r="AG69" s="329">
        <v>130789.02095387297</v>
      </c>
      <c r="AH69" s="290">
        <v>84211</v>
      </c>
      <c r="AK69" s="127" t="s">
        <v>77</v>
      </c>
      <c r="AL69" s="131" t="s">
        <v>81</v>
      </c>
      <c r="AN69" s="553">
        <f t="shared" si="10"/>
        <v>94557.300000000017</v>
      </c>
      <c r="AO69" s="439">
        <f t="shared" si="19"/>
        <v>2.9336709037817887</v>
      </c>
      <c r="AP69" s="759">
        <f>AO69-AO86</f>
        <v>1.2372998370258634</v>
      </c>
      <c r="AR69" s="324">
        <f t="shared" si="11"/>
        <v>71542.310953872948</v>
      </c>
      <c r="AS69" s="439">
        <f t="shared" si="20"/>
        <v>1.4986996582747134</v>
      </c>
      <c r="AT69" s="756">
        <f>AS69-AS86</f>
        <v>0.28278911763398118</v>
      </c>
      <c r="AV69" s="324">
        <f t="shared" si="13"/>
        <v>166099.61095387297</v>
      </c>
      <c r="AW69" s="439">
        <f t="shared" si="21"/>
        <v>4.3966915809882359</v>
      </c>
      <c r="AX69" s="759">
        <f>AW69-AW86</f>
        <v>2.3340561200817431</v>
      </c>
      <c r="AZ69" s="127" t="s">
        <v>77</v>
      </c>
      <c r="BA69" s="131" t="s">
        <v>81</v>
      </c>
      <c r="BC69" s="220">
        <f t="shared" si="14"/>
        <v>35310.589999999997</v>
      </c>
      <c r="BD69" s="439">
        <f t="shared" si="22"/>
        <v>1.7220919006609554</v>
      </c>
      <c r="BE69" s="570" t="s">
        <v>453</v>
      </c>
      <c r="BF69" s="545">
        <f>BD69-BD86</f>
        <v>0.94037837580209993</v>
      </c>
    </row>
    <row r="70" spans="1:58" s="4" customFormat="1" ht="13.5" customHeight="1" x14ac:dyDescent="0.3">
      <c r="A70" s="127" t="s">
        <v>77</v>
      </c>
      <c r="B70" s="131" t="s">
        <v>82</v>
      </c>
      <c r="C70" s="3"/>
      <c r="D70" s="203">
        <v>28963</v>
      </c>
      <c r="E70" s="202">
        <v>80131</v>
      </c>
      <c r="G70" s="192">
        <f t="shared" si="7"/>
        <v>51168</v>
      </c>
      <c r="H70" s="253">
        <f t="shared" si="8"/>
        <v>2.7666678175603354</v>
      </c>
      <c r="J70" s="203">
        <v>102397</v>
      </c>
      <c r="K70" s="202">
        <f t="shared" si="9"/>
        <v>-22266</v>
      </c>
      <c r="L70" s="31"/>
      <c r="M70" s="31"/>
      <c r="N70" s="127" t="s">
        <v>77</v>
      </c>
      <c r="O70" s="131" t="s">
        <v>82</v>
      </c>
      <c r="Q70" s="317">
        <v>88184</v>
      </c>
      <c r="R70" s="335">
        <v>118620</v>
      </c>
      <c r="T70" s="320">
        <v>62749</v>
      </c>
      <c r="U70" s="342">
        <v>118620</v>
      </c>
      <c r="V70" s="348"/>
      <c r="W70" s="338">
        <v>62926</v>
      </c>
      <c r="X70" s="340">
        <v>120744</v>
      </c>
      <c r="Z70" s="127" t="s">
        <v>77</v>
      </c>
      <c r="AA70" s="131" t="s">
        <v>82</v>
      </c>
      <c r="AC70" s="203">
        <v>102397</v>
      </c>
      <c r="AD70" s="345">
        <f t="shared" si="12"/>
        <v>16223</v>
      </c>
      <c r="AF70" s="325">
        <v>190742.59324943597</v>
      </c>
      <c r="AG70" s="329">
        <v>153780.59324943597</v>
      </c>
      <c r="AH70" s="290">
        <v>36962</v>
      </c>
      <c r="AK70" s="127" t="s">
        <v>77</v>
      </c>
      <c r="AL70" s="131" t="s">
        <v>82</v>
      </c>
      <c r="AN70" s="553">
        <f t="shared" si="10"/>
        <v>55871</v>
      </c>
      <c r="AO70" s="439">
        <f t="shared" si="19"/>
        <v>1.8903886914532502</v>
      </c>
      <c r="AP70" s="755">
        <f>AO70-AO86</f>
        <v>0.19401762469732486</v>
      </c>
      <c r="AR70" s="324">
        <f t="shared" si="11"/>
        <v>72122.593249435973</v>
      </c>
      <c r="AS70" s="439">
        <f t="shared" si="20"/>
        <v>1.6080137687526217</v>
      </c>
      <c r="AT70" s="756">
        <f>AS70-AS86</f>
        <v>0.39210322811188947</v>
      </c>
      <c r="AV70" s="324">
        <f t="shared" si="13"/>
        <v>127993.59324943597</v>
      </c>
      <c r="AW70" s="439">
        <f t="shared" si="21"/>
        <v>3.0397710441510775</v>
      </c>
      <c r="AX70" s="759">
        <f>AW70-AW86</f>
        <v>0.97713558324458472</v>
      </c>
      <c r="AZ70" s="127" t="s">
        <v>77</v>
      </c>
      <c r="BA70" s="131" t="s">
        <v>82</v>
      </c>
      <c r="BC70" s="220">
        <f t="shared" si="14"/>
        <v>-25787</v>
      </c>
      <c r="BD70" s="439">
        <f t="shared" si="22"/>
        <v>0.58904524374890432</v>
      </c>
      <c r="BE70" s="721" t="s">
        <v>454</v>
      </c>
      <c r="BF70" s="707">
        <f>BD70-BD86</f>
        <v>-0.19266828110995116</v>
      </c>
    </row>
    <row r="71" spans="1:58" s="4" customFormat="1" ht="13.5" customHeight="1" x14ac:dyDescent="0.3">
      <c r="A71" s="127" t="s">
        <v>77</v>
      </c>
      <c r="B71" s="131" t="s">
        <v>83</v>
      </c>
      <c r="C71" s="3"/>
      <c r="D71" s="203">
        <v>121931</v>
      </c>
      <c r="E71" s="202">
        <v>255475</v>
      </c>
      <c r="G71" s="192">
        <f t="shared" si="7"/>
        <v>133544</v>
      </c>
      <c r="H71" s="253">
        <f t="shared" si="8"/>
        <v>2.0952423911884592</v>
      </c>
      <c r="J71" s="203">
        <v>198432</v>
      </c>
      <c r="K71" s="202">
        <f t="shared" si="9"/>
        <v>57043</v>
      </c>
      <c r="L71" s="31"/>
      <c r="M71" s="31"/>
      <c r="N71" s="127" t="s">
        <v>77</v>
      </c>
      <c r="O71" s="131" t="s">
        <v>83</v>
      </c>
      <c r="Q71" s="317">
        <v>253541.16999999998</v>
      </c>
      <c r="R71" s="335">
        <v>387388.81</v>
      </c>
      <c r="T71" s="320">
        <v>253541.16999999998</v>
      </c>
      <c r="U71" s="342">
        <v>387388.81</v>
      </c>
      <c r="V71" s="348"/>
      <c r="W71" s="338">
        <v>253541.17000000004</v>
      </c>
      <c r="X71" s="340">
        <v>387388.81</v>
      </c>
      <c r="Z71" s="127" t="s">
        <v>77</v>
      </c>
      <c r="AA71" s="131" t="s">
        <v>83</v>
      </c>
      <c r="AC71" s="203">
        <v>198432</v>
      </c>
      <c r="AD71" s="345">
        <f t="shared" ref="AD71:AD86" si="23">(U71-AC71)</f>
        <v>188956.81</v>
      </c>
      <c r="AF71" s="325">
        <v>475000.21214227658</v>
      </c>
      <c r="AG71" s="329">
        <v>315544.21214227658</v>
      </c>
      <c r="AH71" s="290">
        <v>159456</v>
      </c>
      <c r="AK71" s="127" t="s">
        <v>77</v>
      </c>
      <c r="AL71" s="131" t="s">
        <v>83</v>
      </c>
      <c r="AN71" s="553">
        <f t="shared" si="10"/>
        <v>133847.64000000001</v>
      </c>
      <c r="AO71" s="439">
        <f t="shared" si="19"/>
        <v>1.5279128435038776</v>
      </c>
      <c r="AP71" s="761">
        <f>AO71-AO86</f>
        <v>-0.16845822325204773</v>
      </c>
      <c r="AR71" s="324">
        <f t="shared" si="11"/>
        <v>87611.40214227658</v>
      </c>
      <c r="AS71" s="439">
        <f t="shared" si="20"/>
        <v>1.2261588354663022</v>
      </c>
      <c r="AT71" s="755">
        <f>AS71-AS86</f>
        <v>1.0248294825569992E-2</v>
      </c>
      <c r="AV71" s="324">
        <f t="shared" ref="AV71:AV86" si="24">AF71-T71</f>
        <v>221459.04214227659</v>
      </c>
      <c r="AW71" s="439">
        <f t="shared" si="21"/>
        <v>1.8734638328847208</v>
      </c>
      <c r="AX71" s="761">
        <f>AW71-AW86</f>
        <v>-0.1891716280217719</v>
      </c>
      <c r="AZ71" s="127" t="s">
        <v>77</v>
      </c>
      <c r="BA71" s="131" t="s">
        <v>83</v>
      </c>
      <c r="BC71" s="220">
        <f t="shared" ref="BC71:BC86" si="25">AH71-T71</f>
        <v>-94085.169999999984</v>
      </c>
      <c r="BD71" s="439">
        <f t="shared" si="22"/>
        <v>0.62891561161447673</v>
      </c>
      <c r="BE71" s="721" t="s">
        <v>454</v>
      </c>
      <c r="BF71" s="707">
        <f>BD71-BD86</f>
        <v>-0.15279791324437875</v>
      </c>
    </row>
    <row r="72" spans="1:58" s="4" customFormat="1" ht="13.5" customHeight="1" x14ac:dyDescent="0.3">
      <c r="A72" s="127" t="s">
        <v>77</v>
      </c>
      <c r="B72" s="131" t="s">
        <v>84</v>
      </c>
      <c r="C72" s="3"/>
      <c r="D72" s="203">
        <v>113800</v>
      </c>
      <c r="E72" s="202">
        <v>329000</v>
      </c>
      <c r="G72" s="192">
        <f t="shared" ref="G72:G86" si="26">E72-D72</f>
        <v>215200</v>
      </c>
      <c r="H72" s="253">
        <f t="shared" ref="H72:H86" si="27">E72/D72</f>
        <v>2.8910369068541302</v>
      </c>
      <c r="J72" s="203">
        <v>233500</v>
      </c>
      <c r="K72" s="202">
        <f t="shared" ref="K72:K83" si="28">E72-J72</f>
        <v>95500</v>
      </c>
      <c r="L72" s="31"/>
      <c r="M72" s="31"/>
      <c r="N72" s="127" t="s">
        <v>77</v>
      </c>
      <c r="O72" s="131" t="s">
        <v>84</v>
      </c>
      <c r="Q72" s="317">
        <v>225733.5</v>
      </c>
      <c r="R72" s="335">
        <v>454155.22</v>
      </c>
      <c r="T72" s="19">
        <v>225733.5</v>
      </c>
      <c r="U72" s="342">
        <v>454155.22</v>
      </c>
      <c r="V72" s="348"/>
      <c r="W72" s="338">
        <v>225733.5</v>
      </c>
      <c r="X72" s="340">
        <v>454155.22</v>
      </c>
      <c r="Z72" s="127" t="s">
        <v>77</v>
      </c>
      <c r="AA72" s="131" t="s">
        <v>84</v>
      </c>
      <c r="AC72" s="203">
        <v>233500</v>
      </c>
      <c r="AD72" s="767">
        <f t="shared" si="23"/>
        <v>220655.21999999997</v>
      </c>
      <c r="AF72" s="325">
        <v>786827.53554056818</v>
      </c>
      <c r="AG72" s="329">
        <v>379827.53554056818</v>
      </c>
      <c r="AH72" s="290">
        <v>407000</v>
      </c>
      <c r="AK72" s="127" t="s">
        <v>77</v>
      </c>
      <c r="AL72" s="131" t="s">
        <v>84</v>
      </c>
      <c r="AN72" s="766">
        <f t="shared" ref="AN72:AN86" si="29">U72-T72</f>
        <v>228421.71999999997</v>
      </c>
      <c r="AO72" s="765">
        <f t="shared" si="19"/>
        <v>2.0119088216857488</v>
      </c>
      <c r="AP72" s="756">
        <f>AO72-AO86</f>
        <v>0.3155377549298235</v>
      </c>
      <c r="AR72" s="325">
        <f t="shared" ref="AR72:AR86" si="30">AF72-U72</f>
        <v>332672.3155405682</v>
      </c>
      <c r="AS72" s="765">
        <f t="shared" si="20"/>
        <v>1.7325079639964684</v>
      </c>
      <c r="AT72" s="757">
        <f>AS72-AS86</f>
        <v>0.51659742335573622</v>
      </c>
      <c r="AV72" s="325">
        <f t="shared" si="24"/>
        <v>561094.03554056818</v>
      </c>
      <c r="AW72" s="765">
        <f t="shared" si="21"/>
        <v>3.4856480564053105</v>
      </c>
      <c r="AX72" s="759">
        <f>AW72-AW86</f>
        <v>1.4230125954988178</v>
      </c>
      <c r="AZ72" s="127" t="s">
        <v>77</v>
      </c>
      <c r="BA72" s="131" t="s">
        <v>84</v>
      </c>
      <c r="BC72" s="203">
        <f t="shared" si="25"/>
        <v>181266.5</v>
      </c>
      <c r="BD72" s="765">
        <f t="shared" si="22"/>
        <v>1.8030110727915882</v>
      </c>
      <c r="BE72" s="768" t="s">
        <v>453</v>
      </c>
      <c r="BF72" s="545">
        <f>BD72-BD86</f>
        <v>1.0212975479327326</v>
      </c>
    </row>
    <row r="73" spans="1:58" s="4" customFormat="1" ht="13.5" customHeight="1" x14ac:dyDescent="0.3">
      <c r="A73" s="127" t="s">
        <v>77</v>
      </c>
      <c r="B73" s="131" t="s">
        <v>85</v>
      </c>
      <c r="C73" s="3"/>
      <c r="D73" s="203">
        <v>1897945</v>
      </c>
      <c r="E73" s="202">
        <v>4294201</v>
      </c>
      <c r="G73" s="192">
        <f t="shared" si="26"/>
        <v>2396256</v>
      </c>
      <c r="H73" s="253">
        <f t="shared" si="27"/>
        <v>2.2625529190782663</v>
      </c>
      <c r="J73" s="203">
        <v>2790756</v>
      </c>
      <c r="K73" s="202">
        <f t="shared" si="28"/>
        <v>1503445</v>
      </c>
      <c r="L73" s="31"/>
      <c r="M73" s="31"/>
      <c r="N73" s="127" t="s">
        <v>77</v>
      </c>
      <c r="O73" s="131" t="s">
        <v>85</v>
      </c>
      <c r="Q73" s="316">
        <v>3594044.89</v>
      </c>
      <c r="R73" s="335">
        <v>6506941.9100000001</v>
      </c>
      <c r="T73" s="19">
        <v>3594044.89</v>
      </c>
      <c r="U73" s="342">
        <v>6506941.9100000001</v>
      </c>
      <c r="V73" s="348"/>
      <c r="W73" s="338">
        <v>2277692.85</v>
      </c>
      <c r="X73" s="340">
        <v>5117984.51</v>
      </c>
      <c r="Z73" s="127" t="s">
        <v>77</v>
      </c>
      <c r="AA73" s="131" t="s">
        <v>85</v>
      </c>
      <c r="AC73" s="203">
        <v>2790756</v>
      </c>
      <c r="AD73" s="345">
        <f t="shared" si="23"/>
        <v>3716185.91</v>
      </c>
      <c r="AF73" s="325">
        <v>11772554.250015149</v>
      </c>
      <c r="AG73" s="329">
        <v>3793076.2500151484</v>
      </c>
      <c r="AH73" s="290">
        <v>7979478</v>
      </c>
      <c r="AK73" s="127" t="s">
        <v>77</v>
      </c>
      <c r="AL73" s="131" t="s">
        <v>85</v>
      </c>
      <c r="AN73" s="553">
        <f t="shared" si="29"/>
        <v>2912897.02</v>
      </c>
      <c r="AO73" s="439">
        <f t="shared" si="19"/>
        <v>1.810478752812684</v>
      </c>
      <c r="AP73" s="755">
        <f>AO73-AO86</f>
        <v>0.11410768605675869</v>
      </c>
      <c r="AR73" s="324">
        <f t="shared" si="30"/>
        <v>5265612.3400151487</v>
      </c>
      <c r="AS73" s="439">
        <f t="shared" si="20"/>
        <v>1.8092299597638715</v>
      </c>
      <c r="AT73" s="757">
        <f>AS73-AS86</f>
        <v>0.59331941912313924</v>
      </c>
      <c r="AV73" s="324">
        <f t="shared" si="24"/>
        <v>8178509.3600151483</v>
      </c>
      <c r="AW73" s="439">
        <f t="shared" si="21"/>
        <v>3.2755724011046361</v>
      </c>
      <c r="AX73" s="759">
        <f>AW73-AW86</f>
        <v>1.2129369401981434</v>
      </c>
      <c r="AZ73" s="127" t="s">
        <v>77</v>
      </c>
      <c r="BA73" s="131" t="s">
        <v>85</v>
      </c>
      <c r="BC73" s="220">
        <f t="shared" si="25"/>
        <v>4385433.1099999994</v>
      </c>
      <c r="BD73" s="439">
        <f t="shared" si="22"/>
        <v>2.2201943059203137</v>
      </c>
      <c r="BE73" s="570" t="s">
        <v>453</v>
      </c>
      <c r="BF73" s="545">
        <f>BD73-BD86</f>
        <v>1.4384807810614584</v>
      </c>
    </row>
    <row r="74" spans="1:58" s="4" customFormat="1" ht="13.5" customHeight="1" x14ac:dyDescent="0.3">
      <c r="A74" s="127" t="s">
        <v>86</v>
      </c>
      <c r="B74" s="131" t="s">
        <v>87</v>
      </c>
      <c r="C74" s="3"/>
      <c r="D74" s="203">
        <v>111897</v>
      </c>
      <c r="E74" s="202">
        <v>280380</v>
      </c>
      <c r="G74" s="192">
        <f t="shared" si="26"/>
        <v>168483</v>
      </c>
      <c r="H74" s="253">
        <f t="shared" si="27"/>
        <v>2.5056972036783827</v>
      </c>
      <c r="J74" s="203">
        <v>210296</v>
      </c>
      <c r="K74" s="202">
        <f t="shared" si="28"/>
        <v>70084</v>
      </c>
      <c r="L74" s="31"/>
      <c r="M74" s="31"/>
      <c r="N74" s="127" t="s">
        <v>86</v>
      </c>
      <c r="O74" s="131" t="s">
        <v>87</v>
      </c>
      <c r="Q74" s="317">
        <v>215536.38</v>
      </c>
      <c r="R74" s="336">
        <v>382619.18</v>
      </c>
      <c r="T74" s="19">
        <v>215536.38</v>
      </c>
      <c r="U74" s="343">
        <v>382619.18</v>
      </c>
      <c r="V74" s="349"/>
      <c r="W74" s="341">
        <v>215536.38</v>
      </c>
      <c r="X74" s="340">
        <v>382619.18</v>
      </c>
      <c r="Z74" s="127" t="s">
        <v>86</v>
      </c>
      <c r="AA74" s="131" t="s">
        <v>87</v>
      </c>
      <c r="AC74" s="203">
        <v>210296</v>
      </c>
      <c r="AD74" s="345">
        <f t="shared" si="23"/>
        <v>172323.18</v>
      </c>
      <c r="AF74" s="325">
        <v>625218.09399345878</v>
      </c>
      <c r="AG74" s="329">
        <v>375218.09399345878</v>
      </c>
      <c r="AH74" s="290">
        <v>250000</v>
      </c>
      <c r="AK74" s="127" t="s">
        <v>86</v>
      </c>
      <c r="AL74" s="131" t="s">
        <v>87</v>
      </c>
      <c r="AN74" s="553">
        <f t="shared" si="29"/>
        <v>167082.79999999999</v>
      </c>
      <c r="AO74" s="439">
        <f t="shared" si="19"/>
        <v>1.775195352172102</v>
      </c>
      <c r="AP74" s="755">
        <f>AO74-AO86</f>
        <v>7.8824285416176698E-2</v>
      </c>
      <c r="AR74" s="324">
        <f t="shared" si="30"/>
        <v>242598.91399345879</v>
      </c>
      <c r="AS74" s="439">
        <f t="shared" si="20"/>
        <v>1.6340479690366247</v>
      </c>
      <c r="AT74" s="757">
        <f>AS74-AS86</f>
        <v>0.41813742839589252</v>
      </c>
      <c r="AV74" s="324">
        <f t="shared" si="24"/>
        <v>409681.71399345878</v>
      </c>
      <c r="AW74" s="439">
        <f t="shared" si="21"/>
        <v>2.9007543598600791</v>
      </c>
      <c r="AX74" s="759">
        <f>AW74-AW86</f>
        <v>0.83811889895358638</v>
      </c>
      <c r="AZ74" s="127" t="s">
        <v>86</v>
      </c>
      <c r="BA74" s="131" t="s">
        <v>87</v>
      </c>
      <c r="BC74" s="220">
        <f t="shared" si="25"/>
        <v>34463.619999999995</v>
      </c>
      <c r="BD74" s="439">
        <f t="shared" si="22"/>
        <v>1.1598969974349573</v>
      </c>
      <c r="BE74" s="719" t="s">
        <v>450</v>
      </c>
      <c r="BF74" s="545">
        <f>BD74-BD86</f>
        <v>0.37818347257610185</v>
      </c>
    </row>
    <row r="75" spans="1:58" s="4" customFormat="1" ht="13.5" customHeight="1" x14ac:dyDescent="0.3">
      <c r="A75" s="127" t="s">
        <v>86</v>
      </c>
      <c r="B75" s="131" t="s">
        <v>88</v>
      </c>
      <c r="C75" s="3"/>
      <c r="D75" s="203">
        <v>111892</v>
      </c>
      <c r="E75" s="202">
        <v>317592</v>
      </c>
      <c r="G75" s="192">
        <f t="shared" si="26"/>
        <v>205700</v>
      </c>
      <c r="H75" s="253">
        <f t="shared" si="27"/>
        <v>2.838379866299646</v>
      </c>
      <c r="J75" s="203">
        <v>213983</v>
      </c>
      <c r="K75" s="202">
        <f t="shared" si="28"/>
        <v>103609</v>
      </c>
      <c r="L75" s="31"/>
      <c r="M75" s="31"/>
      <c r="N75" s="127" t="s">
        <v>86</v>
      </c>
      <c r="O75" s="131" t="s">
        <v>88</v>
      </c>
      <c r="Q75" s="317">
        <v>223875.16</v>
      </c>
      <c r="R75" s="335">
        <v>480301.65</v>
      </c>
      <c r="T75" s="19">
        <v>223875.16</v>
      </c>
      <c r="U75" s="342">
        <v>480301.65</v>
      </c>
      <c r="V75" s="348"/>
      <c r="W75" s="338">
        <v>227186.16</v>
      </c>
      <c r="X75" s="340">
        <v>483612.65</v>
      </c>
      <c r="Z75" s="127" t="s">
        <v>86</v>
      </c>
      <c r="AA75" s="131" t="s">
        <v>88</v>
      </c>
      <c r="AC75" s="203">
        <v>213983</v>
      </c>
      <c r="AD75" s="345">
        <f t="shared" si="23"/>
        <v>266318.65000000002</v>
      </c>
      <c r="AF75" s="325">
        <v>630000.39190031355</v>
      </c>
      <c r="AG75" s="329">
        <v>393395.39190031355</v>
      </c>
      <c r="AH75" s="290">
        <v>236605</v>
      </c>
      <c r="AK75" s="127" t="s">
        <v>86</v>
      </c>
      <c r="AL75" s="131" t="s">
        <v>88</v>
      </c>
      <c r="AN75" s="553">
        <f t="shared" si="29"/>
        <v>256426.49000000002</v>
      </c>
      <c r="AO75" s="439">
        <f t="shared" si="19"/>
        <v>2.1453994717413045</v>
      </c>
      <c r="AP75" s="757">
        <f>AO75-AO86</f>
        <v>0.44902840498537921</v>
      </c>
      <c r="AR75" s="324">
        <f t="shared" si="30"/>
        <v>149698.74190031353</v>
      </c>
      <c r="AS75" s="439">
        <f t="shared" si="20"/>
        <v>1.311676509752389</v>
      </c>
      <c r="AT75" s="755">
        <f>AS75-AS86</f>
        <v>9.5765969111656801E-2</v>
      </c>
      <c r="AV75" s="324">
        <f t="shared" si="24"/>
        <v>406125.23190031352</v>
      </c>
      <c r="AW75" s="439">
        <f t="shared" si="21"/>
        <v>2.8140700911182535</v>
      </c>
      <c r="AX75" s="759">
        <f>AW75-AW86</f>
        <v>0.75143463021176071</v>
      </c>
      <c r="AZ75" s="127" t="s">
        <v>86</v>
      </c>
      <c r="BA75" s="131" t="s">
        <v>88</v>
      </c>
      <c r="BC75" s="220">
        <f t="shared" si="25"/>
        <v>12729.839999999997</v>
      </c>
      <c r="BD75" s="439">
        <f t="shared" si="22"/>
        <v>1.0568613328964231</v>
      </c>
      <c r="BE75" s="718" t="s">
        <v>451</v>
      </c>
      <c r="BF75" s="546">
        <f>BD75-BD86</f>
        <v>0.27514780803756766</v>
      </c>
    </row>
    <row r="76" spans="1:58" s="4" customFormat="1" ht="13.5" customHeight="1" x14ac:dyDescent="0.3">
      <c r="A76" s="127" t="s">
        <v>86</v>
      </c>
      <c r="B76" s="131" t="s">
        <v>89</v>
      </c>
      <c r="C76" s="3"/>
      <c r="D76" s="203">
        <v>262592</v>
      </c>
      <c r="E76" s="202">
        <v>621587</v>
      </c>
      <c r="G76" s="192">
        <f t="shared" si="26"/>
        <v>358995</v>
      </c>
      <c r="H76" s="253">
        <f t="shared" si="27"/>
        <v>2.3671208566902266</v>
      </c>
      <c r="J76" s="203">
        <v>516665</v>
      </c>
      <c r="K76" s="202">
        <f t="shared" si="28"/>
        <v>104922</v>
      </c>
      <c r="L76" s="31"/>
      <c r="M76" s="31"/>
      <c r="N76" s="127" t="s">
        <v>86</v>
      </c>
      <c r="O76" s="131" t="s">
        <v>89</v>
      </c>
      <c r="Q76" s="317">
        <v>726180.7</v>
      </c>
      <c r="R76" s="335">
        <v>1217960.78</v>
      </c>
      <c r="T76" s="19">
        <v>687012.7</v>
      </c>
      <c r="U76" s="342">
        <v>1217960.78</v>
      </c>
      <c r="V76" s="348"/>
      <c r="W76" s="338">
        <v>531324.06999999995</v>
      </c>
      <c r="X76" s="340">
        <v>1027062</v>
      </c>
      <c r="Z76" s="127" t="s">
        <v>86</v>
      </c>
      <c r="AA76" s="131" t="s">
        <v>89</v>
      </c>
      <c r="AC76" s="203">
        <v>516665</v>
      </c>
      <c r="AD76" s="345">
        <f t="shared" si="23"/>
        <v>701295.78</v>
      </c>
      <c r="AF76" s="325">
        <v>1296407.3205672284</v>
      </c>
      <c r="AG76" s="329">
        <v>792031.32056722848</v>
      </c>
      <c r="AH76" s="290">
        <v>504376</v>
      </c>
      <c r="AK76" s="127" t="s">
        <v>86</v>
      </c>
      <c r="AL76" s="131" t="s">
        <v>89</v>
      </c>
      <c r="AN76" s="553">
        <f t="shared" si="29"/>
        <v>530948.08000000007</v>
      </c>
      <c r="AO76" s="439">
        <f t="shared" si="19"/>
        <v>1.7728359024512941</v>
      </c>
      <c r="AP76" s="755">
        <f>AO76-AO86</f>
        <v>7.6464835695368771E-2</v>
      </c>
      <c r="AR76" s="324">
        <f t="shared" si="30"/>
        <v>78446.540567228338</v>
      </c>
      <c r="AS76" s="439">
        <f t="shared" si="20"/>
        <v>1.0644081007002772</v>
      </c>
      <c r="AT76" s="761">
        <f>AS76-AS86</f>
        <v>-0.15150243994045498</v>
      </c>
      <c r="AV76" s="324">
        <f t="shared" si="24"/>
        <v>609394.62056722841</v>
      </c>
      <c r="AW76" s="439">
        <f t="shared" si="21"/>
        <v>1.8870208957814441</v>
      </c>
      <c r="AX76" s="761">
        <f>AW76-AW86</f>
        <v>-0.17561456512504869</v>
      </c>
      <c r="AZ76" s="127" t="s">
        <v>86</v>
      </c>
      <c r="BA76" s="131" t="s">
        <v>89</v>
      </c>
      <c r="BC76" s="220">
        <f t="shared" si="25"/>
        <v>-182636.69999999995</v>
      </c>
      <c r="BD76" s="439">
        <f t="shared" si="22"/>
        <v>0.73415818950654044</v>
      </c>
      <c r="BE76" s="567" t="s">
        <v>356</v>
      </c>
      <c r="BF76" s="706">
        <f>BD76-BD86</f>
        <v>-4.7555335352315042E-2</v>
      </c>
    </row>
    <row r="77" spans="1:58" s="4" customFormat="1" ht="13.5" customHeight="1" x14ac:dyDescent="0.3">
      <c r="A77" s="127" t="s">
        <v>90</v>
      </c>
      <c r="B77" s="131" t="s">
        <v>91</v>
      </c>
      <c r="C77" s="3"/>
      <c r="D77" s="203">
        <v>529702</v>
      </c>
      <c r="E77" s="202">
        <v>744721</v>
      </c>
      <c r="G77" s="192">
        <f t="shared" si="26"/>
        <v>215019</v>
      </c>
      <c r="H77" s="253">
        <f t="shared" si="27"/>
        <v>1.4059244631887362</v>
      </c>
      <c r="J77" s="203">
        <v>292521</v>
      </c>
      <c r="K77" s="202">
        <f t="shared" si="28"/>
        <v>452200</v>
      </c>
      <c r="L77" s="31"/>
      <c r="M77" s="31"/>
      <c r="N77" s="127" t="s">
        <v>90</v>
      </c>
      <c r="O77" s="131" t="s">
        <v>91</v>
      </c>
      <c r="Q77" s="316">
        <v>1522078.81</v>
      </c>
      <c r="R77" s="335">
        <v>1320303</v>
      </c>
      <c r="T77" s="19">
        <v>945552.21</v>
      </c>
      <c r="U77" s="342">
        <v>1315965</v>
      </c>
      <c r="V77" s="348"/>
      <c r="W77" s="338">
        <v>445563.18</v>
      </c>
      <c r="X77" s="340">
        <v>695266.6</v>
      </c>
      <c r="Z77" s="127" t="s">
        <v>90</v>
      </c>
      <c r="AA77" s="131" t="s">
        <v>91</v>
      </c>
      <c r="AC77" s="203">
        <v>292521</v>
      </c>
      <c r="AD77" s="345">
        <f t="shared" si="23"/>
        <v>1023444</v>
      </c>
      <c r="AF77" s="325">
        <v>1027571.7295888592</v>
      </c>
      <c r="AG77" s="329">
        <v>602821.72958885925</v>
      </c>
      <c r="AH77" s="290">
        <v>424750</v>
      </c>
      <c r="AK77" s="127" t="s">
        <v>90</v>
      </c>
      <c r="AL77" s="131" t="s">
        <v>91</v>
      </c>
      <c r="AN77" s="553">
        <f t="shared" si="29"/>
        <v>370412.79000000004</v>
      </c>
      <c r="AO77" s="439">
        <f t="shared" si="19"/>
        <v>1.3917422920517526</v>
      </c>
      <c r="AP77" s="762">
        <f>AO77-AO86</f>
        <v>-0.30462877470417271</v>
      </c>
      <c r="AR77" s="324">
        <f t="shared" si="30"/>
        <v>-288393.27041114075</v>
      </c>
      <c r="AS77" s="439">
        <f t="shared" si="20"/>
        <v>0.78085034905096962</v>
      </c>
      <c r="AT77" s="763">
        <f>AS77-AS86</f>
        <v>-0.43506019158976261</v>
      </c>
      <c r="AV77" s="324">
        <f t="shared" si="24"/>
        <v>82019.519588859286</v>
      </c>
      <c r="AW77" s="439">
        <f t="shared" si="21"/>
        <v>1.0867424545376074</v>
      </c>
      <c r="AX77" s="764">
        <f>AW77-AW86</f>
        <v>-0.97589300636888532</v>
      </c>
      <c r="AZ77" s="127" t="s">
        <v>90</v>
      </c>
      <c r="BA77" s="131" t="s">
        <v>91</v>
      </c>
      <c r="BC77" s="220">
        <f t="shared" si="25"/>
        <v>-520802.20999999996</v>
      </c>
      <c r="BD77" s="439">
        <f t="shared" si="22"/>
        <v>0.4492084048960131</v>
      </c>
      <c r="BE77" s="721" t="s">
        <v>454</v>
      </c>
      <c r="BF77" s="724">
        <f>BD77-BD86</f>
        <v>-0.33250511996284238</v>
      </c>
    </row>
    <row r="78" spans="1:58" s="4" customFormat="1" ht="13.5" customHeight="1" x14ac:dyDescent="0.3">
      <c r="A78" s="127" t="s">
        <v>90</v>
      </c>
      <c r="B78" s="131" t="s">
        <v>92</v>
      </c>
      <c r="C78" s="3"/>
      <c r="D78" s="203">
        <v>148550</v>
      </c>
      <c r="E78" s="202">
        <v>412152</v>
      </c>
      <c r="G78" s="192">
        <f t="shared" si="26"/>
        <v>263602</v>
      </c>
      <c r="H78" s="253">
        <f t="shared" si="27"/>
        <v>2.7745001682935038</v>
      </c>
      <c r="J78" s="203">
        <v>279104</v>
      </c>
      <c r="K78" s="202">
        <f t="shared" si="28"/>
        <v>133048</v>
      </c>
      <c r="L78" s="31"/>
      <c r="M78" s="31"/>
      <c r="N78" s="127" t="s">
        <v>90</v>
      </c>
      <c r="O78" s="131" t="s">
        <v>92</v>
      </c>
      <c r="Q78" s="317">
        <v>584137.21</v>
      </c>
      <c r="R78" s="335">
        <v>947676.65</v>
      </c>
      <c r="T78" s="19">
        <v>574777.21</v>
      </c>
      <c r="U78" s="342">
        <v>917022.18</v>
      </c>
      <c r="V78" s="348"/>
      <c r="W78" s="338">
        <v>342238.52</v>
      </c>
      <c r="X78" s="340">
        <v>673398.82</v>
      </c>
      <c r="Z78" s="127" t="s">
        <v>90</v>
      </c>
      <c r="AA78" s="131" t="s">
        <v>92</v>
      </c>
      <c r="AC78" s="203">
        <v>279104</v>
      </c>
      <c r="AD78" s="345">
        <f t="shared" si="23"/>
        <v>637918.18000000005</v>
      </c>
      <c r="AF78" s="325">
        <v>1215019.2383881183</v>
      </c>
      <c r="AG78" s="329">
        <v>575265.23838811833</v>
      </c>
      <c r="AH78" s="290">
        <v>639754</v>
      </c>
      <c r="AK78" s="127" t="s">
        <v>90</v>
      </c>
      <c r="AL78" s="131" t="s">
        <v>92</v>
      </c>
      <c r="AN78" s="553">
        <f t="shared" si="29"/>
        <v>342244.97000000009</v>
      </c>
      <c r="AO78" s="439">
        <f t="shared" si="19"/>
        <v>1.5954393529277198</v>
      </c>
      <c r="AP78" s="761">
        <f>AO78-AO86</f>
        <v>-0.10093171382820554</v>
      </c>
      <c r="AR78" s="324">
        <f t="shared" si="30"/>
        <v>297997.05838811828</v>
      </c>
      <c r="AS78" s="439">
        <f t="shared" si="20"/>
        <v>1.3249616692893058</v>
      </c>
      <c r="AT78" s="755">
        <f>AS78-AS86</f>
        <v>0.10905112864857358</v>
      </c>
      <c r="AV78" s="324">
        <f t="shared" si="24"/>
        <v>640242.02838811837</v>
      </c>
      <c r="AW78" s="439">
        <f t="shared" si="21"/>
        <v>2.1138959883049617</v>
      </c>
      <c r="AX78" s="755">
        <f>AW78-AW86</f>
        <v>5.126052739846898E-2</v>
      </c>
      <c r="AZ78" s="127" t="s">
        <v>90</v>
      </c>
      <c r="BA78" s="131" t="s">
        <v>92</v>
      </c>
      <c r="BC78" s="220">
        <f t="shared" si="25"/>
        <v>64976.790000000037</v>
      </c>
      <c r="BD78" s="439">
        <f t="shared" si="22"/>
        <v>1.1130469142991943</v>
      </c>
      <c r="BE78" s="719" t="s">
        <v>450</v>
      </c>
      <c r="BF78" s="545">
        <f>BD78-BD86</f>
        <v>0.33133338944033885</v>
      </c>
    </row>
    <row r="79" spans="1:58" s="4" customFormat="1" ht="13.5" customHeight="1" x14ac:dyDescent="0.3">
      <c r="A79" s="127" t="s">
        <v>90</v>
      </c>
      <c r="B79" s="131" t="s">
        <v>93</v>
      </c>
      <c r="C79" s="3"/>
      <c r="D79" s="203">
        <v>872707</v>
      </c>
      <c r="E79" s="202">
        <v>1259020</v>
      </c>
      <c r="G79" s="192">
        <f t="shared" si="26"/>
        <v>386313</v>
      </c>
      <c r="H79" s="253">
        <f t="shared" si="27"/>
        <v>1.4426605951367413</v>
      </c>
      <c r="J79" s="203">
        <v>420349</v>
      </c>
      <c r="K79" s="202">
        <f t="shared" si="28"/>
        <v>838671</v>
      </c>
      <c r="L79" s="31"/>
      <c r="M79" s="31"/>
      <c r="N79" s="127" t="s">
        <v>90</v>
      </c>
      <c r="O79" s="131" t="s">
        <v>93</v>
      </c>
      <c r="Q79" s="317">
        <v>1551019.36</v>
      </c>
      <c r="R79" s="335">
        <v>2158266.31</v>
      </c>
      <c r="T79" s="19">
        <v>1512426.53</v>
      </c>
      <c r="U79" s="342">
        <v>2111559.48</v>
      </c>
      <c r="V79" s="348"/>
      <c r="W79" s="338">
        <v>419563.75</v>
      </c>
      <c r="X79" s="340">
        <v>679521.67</v>
      </c>
      <c r="Z79" s="127" t="s">
        <v>90</v>
      </c>
      <c r="AA79" s="131" t="s">
        <v>93</v>
      </c>
      <c r="AC79" s="203">
        <v>420349</v>
      </c>
      <c r="AD79" s="345">
        <f t="shared" si="23"/>
        <v>1691210.48</v>
      </c>
      <c r="AF79" s="325">
        <v>1184135.9826528616</v>
      </c>
      <c r="AG79" s="329">
        <v>750305.98265286174</v>
      </c>
      <c r="AH79" s="290">
        <v>433830</v>
      </c>
      <c r="AK79" s="127" t="s">
        <v>90</v>
      </c>
      <c r="AL79" s="131" t="s">
        <v>93</v>
      </c>
      <c r="AN79" s="553">
        <f t="shared" si="29"/>
        <v>599132.94999999995</v>
      </c>
      <c r="AO79" s="439">
        <f t="shared" si="19"/>
        <v>1.3961402012698096</v>
      </c>
      <c r="AP79" s="762">
        <f>AO79-AO86</f>
        <v>-0.30023086548611566</v>
      </c>
      <c r="AR79" s="324">
        <f t="shared" si="30"/>
        <v>-927423.49734713836</v>
      </c>
      <c r="AS79" s="439">
        <f t="shared" si="20"/>
        <v>0.56078741511598884</v>
      </c>
      <c r="AT79" s="764">
        <f>AS79-AS86</f>
        <v>-0.65512312552474339</v>
      </c>
      <c r="AV79" s="324">
        <f t="shared" si="24"/>
        <v>-328290.5473471384</v>
      </c>
      <c r="AW79" s="439">
        <f t="shared" si="21"/>
        <v>0.78293785460961307</v>
      </c>
      <c r="AX79" s="764">
        <f>AW79-AW86</f>
        <v>-1.2796976062968797</v>
      </c>
      <c r="AZ79" s="127" t="s">
        <v>90</v>
      </c>
      <c r="BA79" s="131" t="s">
        <v>93</v>
      </c>
      <c r="BC79" s="220">
        <f t="shared" si="25"/>
        <v>-1078596.53</v>
      </c>
      <c r="BD79" s="439">
        <f t="shared" si="22"/>
        <v>0.28684368555740686</v>
      </c>
      <c r="BE79" s="721" t="s">
        <v>454</v>
      </c>
      <c r="BF79" s="724">
        <f>BD79-BD86</f>
        <v>-0.49486983930144862</v>
      </c>
    </row>
    <row r="80" spans="1:58" s="4" customFormat="1" ht="13.5" customHeight="1" x14ac:dyDescent="0.3">
      <c r="A80" s="127" t="s">
        <v>90</v>
      </c>
      <c r="B80" s="131" t="s">
        <v>94</v>
      </c>
      <c r="C80" s="3"/>
      <c r="D80" s="203">
        <v>143307</v>
      </c>
      <c r="E80" s="202">
        <v>628078</v>
      </c>
      <c r="G80" s="192">
        <f t="shared" si="26"/>
        <v>484771</v>
      </c>
      <c r="H80" s="253">
        <f t="shared" si="27"/>
        <v>4.3827447368237422</v>
      </c>
      <c r="J80" s="203">
        <v>596662</v>
      </c>
      <c r="K80" s="202">
        <f t="shared" si="28"/>
        <v>31416</v>
      </c>
      <c r="L80" s="31"/>
      <c r="M80" s="31"/>
      <c r="N80" s="127" t="s">
        <v>90</v>
      </c>
      <c r="O80" s="131" t="s">
        <v>94</v>
      </c>
      <c r="Q80" s="317">
        <v>1270960.48</v>
      </c>
      <c r="R80" s="335">
        <v>1888610.05</v>
      </c>
      <c r="T80" s="19">
        <v>1240946.48</v>
      </c>
      <c r="U80" s="342">
        <v>1731576.5</v>
      </c>
      <c r="V80" s="348"/>
      <c r="W80" s="338">
        <v>389287.86</v>
      </c>
      <c r="X80" s="340">
        <v>941730.16</v>
      </c>
      <c r="Z80" s="127" t="s">
        <v>90</v>
      </c>
      <c r="AA80" s="131" t="s">
        <v>94</v>
      </c>
      <c r="AC80" s="203">
        <v>596662</v>
      </c>
      <c r="AD80" s="345">
        <f t="shared" si="23"/>
        <v>1134914.5</v>
      </c>
      <c r="AF80" s="325">
        <v>1309097.1600832769</v>
      </c>
      <c r="AG80" s="329">
        <v>884101.16008327692</v>
      </c>
      <c r="AH80" s="290">
        <v>424996</v>
      </c>
      <c r="AK80" s="127" t="s">
        <v>90</v>
      </c>
      <c r="AL80" s="131" t="s">
        <v>94</v>
      </c>
      <c r="AN80" s="553">
        <f t="shared" si="29"/>
        <v>490630.02</v>
      </c>
      <c r="AO80" s="439">
        <f t="shared" si="19"/>
        <v>1.3953675907118896</v>
      </c>
      <c r="AP80" s="762">
        <f>AO80-AO86</f>
        <v>-0.30100347604403566</v>
      </c>
      <c r="AR80" s="324">
        <f t="shared" si="30"/>
        <v>-422479.33991672308</v>
      </c>
      <c r="AS80" s="439">
        <f t="shared" si="20"/>
        <v>0.75601462602621194</v>
      </c>
      <c r="AT80" s="763">
        <f>AS80-AS86</f>
        <v>-0.45989591461452028</v>
      </c>
      <c r="AV80" s="324">
        <f t="shared" si="24"/>
        <v>68150.680083276937</v>
      </c>
      <c r="AW80" s="439">
        <f t="shared" si="21"/>
        <v>1.0549183072611454</v>
      </c>
      <c r="AX80" s="764">
        <f>AW80-AW86</f>
        <v>-1.0077171536453473</v>
      </c>
      <c r="AZ80" s="127" t="s">
        <v>90</v>
      </c>
      <c r="BA80" s="131" t="s">
        <v>94</v>
      </c>
      <c r="BC80" s="220">
        <f t="shared" si="25"/>
        <v>-815950.48</v>
      </c>
      <c r="BD80" s="439">
        <f t="shared" si="22"/>
        <v>0.34247730006857346</v>
      </c>
      <c r="BE80" s="721" t="s">
        <v>454</v>
      </c>
      <c r="BF80" s="724">
        <f>BD80-BD86</f>
        <v>-0.43923622479028201</v>
      </c>
    </row>
    <row r="81" spans="1:58" s="4" customFormat="1" ht="13.5" customHeight="1" x14ac:dyDescent="0.3">
      <c r="A81" s="127" t="s">
        <v>95</v>
      </c>
      <c r="B81" s="131" t="s">
        <v>96</v>
      </c>
      <c r="C81" s="3"/>
      <c r="D81" s="203">
        <v>64207</v>
      </c>
      <c r="E81" s="202">
        <v>203089</v>
      </c>
      <c r="G81" s="192">
        <f t="shared" si="26"/>
        <v>138882</v>
      </c>
      <c r="H81" s="253">
        <f t="shared" si="27"/>
        <v>3.1630351830797263</v>
      </c>
      <c r="J81" s="203">
        <v>148225</v>
      </c>
      <c r="K81" s="202">
        <f t="shared" si="28"/>
        <v>54864</v>
      </c>
      <c r="L81" s="31"/>
      <c r="M81" s="31"/>
      <c r="N81" s="127" t="s">
        <v>95</v>
      </c>
      <c r="O81" s="131" t="s">
        <v>96</v>
      </c>
      <c r="Q81" s="317">
        <v>124632.57</v>
      </c>
      <c r="R81" s="335">
        <v>285777.34000000008</v>
      </c>
      <c r="T81" s="320">
        <v>124632.57</v>
      </c>
      <c r="U81" s="342">
        <v>285777.34000000008</v>
      </c>
      <c r="V81" s="348"/>
      <c r="W81" s="338">
        <v>124632.56999999998</v>
      </c>
      <c r="X81" s="340">
        <v>285777.33999999997</v>
      </c>
      <c r="Z81" s="127" t="s">
        <v>95</v>
      </c>
      <c r="AA81" s="131" t="s">
        <v>96</v>
      </c>
      <c r="AC81" s="203">
        <v>148225</v>
      </c>
      <c r="AD81" s="345">
        <f t="shared" si="23"/>
        <v>137552.34000000008</v>
      </c>
      <c r="AF81" s="325">
        <v>488869.67734551302</v>
      </c>
      <c r="AG81" s="329">
        <v>265053.67734551302</v>
      </c>
      <c r="AH81" s="290">
        <v>223816</v>
      </c>
      <c r="AK81" s="127" t="s">
        <v>95</v>
      </c>
      <c r="AL81" s="131" t="s">
        <v>96</v>
      </c>
      <c r="AN81" s="553">
        <f t="shared" si="29"/>
        <v>161144.77000000008</v>
      </c>
      <c r="AO81" s="439">
        <f t="shared" si="19"/>
        <v>2.2929587346229003</v>
      </c>
      <c r="AP81" s="757">
        <f>AO81-AO86</f>
        <v>0.59658766786697504</v>
      </c>
      <c r="AR81" s="324">
        <f t="shared" si="30"/>
        <v>203092.33734551293</v>
      </c>
      <c r="AS81" s="439">
        <f t="shared" si="20"/>
        <v>1.710666343753892</v>
      </c>
      <c r="AT81" s="757">
        <f>AS81-AS86</f>
        <v>0.49475580311315981</v>
      </c>
      <c r="AV81" s="324">
        <f t="shared" si="24"/>
        <v>364237.10734551301</v>
      </c>
      <c r="AW81" s="439">
        <f t="shared" si="21"/>
        <v>3.9224873349359077</v>
      </c>
      <c r="AX81" s="759">
        <f>AW81-AW86</f>
        <v>1.859851874029415</v>
      </c>
      <c r="AZ81" s="127" t="s">
        <v>95</v>
      </c>
      <c r="BA81" s="131" t="s">
        <v>96</v>
      </c>
      <c r="BC81" s="220">
        <f t="shared" si="25"/>
        <v>99183.43</v>
      </c>
      <c r="BD81" s="439">
        <f t="shared" si="22"/>
        <v>1.7958066659461487</v>
      </c>
      <c r="BE81" s="570" t="s">
        <v>453</v>
      </c>
      <c r="BF81" s="545">
        <f>BD81-BD86</f>
        <v>1.0140931410872933</v>
      </c>
    </row>
    <row r="82" spans="1:58" s="4" customFormat="1" ht="13.5" customHeight="1" x14ac:dyDescent="0.3">
      <c r="A82" s="127" t="s">
        <v>95</v>
      </c>
      <c r="B82" s="131" t="s">
        <v>97</v>
      </c>
      <c r="C82" s="3"/>
      <c r="D82" s="203">
        <v>70169</v>
      </c>
      <c r="E82" s="202">
        <v>234795</v>
      </c>
      <c r="G82" s="192">
        <f t="shared" si="26"/>
        <v>164626</v>
      </c>
      <c r="H82" s="253">
        <f t="shared" si="27"/>
        <v>3.3461357579557927</v>
      </c>
      <c r="J82" s="203">
        <v>185689</v>
      </c>
      <c r="K82" s="202">
        <f t="shared" si="28"/>
        <v>49106</v>
      </c>
      <c r="L82" s="31"/>
      <c r="M82" s="31"/>
      <c r="N82" s="127" t="s">
        <v>95</v>
      </c>
      <c r="O82" s="131" t="s">
        <v>97</v>
      </c>
      <c r="Q82" s="317">
        <v>691287.88000000012</v>
      </c>
      <c r="R82" s="335">
        <v>935389</v>
      </c>
      <c r="T82" s="320">
        <v>660089.68000000017</v>
      </c>
      <c r="U82" s="342">
        <v>935389</v>
      </c>
      <c r="V82" s="348"/>
      <c r="W82" s="338">
        <v>148582.60000000006</v>
      </c>
      <c r="X82" s="340">
        <v>270362.73</v>
      </c>
      <c r="Z82" s="127" t="s">
        <v>95</v>
      </c>
      <c r="AA82" s="131" t="s">
        <v>97</v>
      </c>
      <c r="AC82" s="203">
        <v>185689</v>
      </c>
      <c r="AD82" s="345">
        <f t="shared" si="23"/>
        <v>749700</v>
      </c>
      <c r="AF82" s="325">
        <v>480000.23324990959</v>
      </c>
      <c r="AG82" s="329">
        <v>275011.23324990959</v>
      </c>
      <c r="AH82" s="290">
        <v>204989</v>
      </c>
      <c r="AK82" s="127" t="s">
        <v>95</v>
      </c>
      <c r="AL82" s="131" t="s">
        <v>97</v>
      </c>
      <c r="AN82" s="553">
        <f t="shared" si="29"/>
        <v>275299.31999999983</v>
      </c>
      <c r="AO82" s="439">
        <f t="shared" si="19"/>
        <v>1.4170635117337387</v>
      </c>
      <c r="AP82" s="762">
        <f>AO82-AO86</f>
        <v>-0.27930755502218663</v>
      </c>
      <c r="AR82" s="324">
        <f t="shared" si="30"/>
        <v>-455388.76675009041</v>
      </c>
      <c r="AS82" s="439">
        <f t="shared" si="20"/>
        <v>0.51315573868188491</v>
      </c>
      <c r="AT82" s="764">
        <f>AS82-AS86</f>
        <v>-0.70275480195884732</v>
      </c>
      <c r="AV82" s="324">
        <f t="shared" si="24"/>
        <v>-180089.44675009057</v>
      </c>
      <c r="AW82" s="439">
        <f t="shared" si="21"/>
        <v>0.72717427312287242</v>
      </c>
      <c r="AX82" s="764">
        <f>AW82-AW86</f>
        <v>-1.3354611877836202</v>
      </c>
      <c r="AZ82" s="127" t="s">
        <v>95</v>
      </c>
      <c r="BA82" s="131" t="s">
        <v>97</v>
      </c>
      <c r="BC82" s="220">
        <f t="shared" si="25"/>
        <v>-455100.68000000017</v>
      </c>
      <c r="BD82" s="439">
        <f t="shared" si="22"/>
        <v>0.31054719716266427</v>
      </c>
      <c r="BE82" s="721" t="s">
        <v>454</v>
      </c>
      <c r="BF82" s="724">
        <f>BD82-BD86</f>
        <v>-0.47116632769619121</v>
      </c>
    </row>
    <row r="83" spans="1:58" s="4" customFormat="1" ht="13.5" customHeight="1" x14ac:dyDescent="0.3">
      <c r="A83" s="127" t="s">
        <v>95</v>
      </c>
      <c r="B83" s="131" t="s">
        <v>98</v>
      </c>
      <c r="C83" s="3"/>
      <c r="D83" s="203">
        <v>213100</v>
      </c>
      <c r="E83" s="202">
        <v>303578</v>
      </c>
      <c r="G83" s="192">
        <f t="shared" si="26"/>
        <v>90478</v>
      </c>
      <c r="H83" s="253">
        <f t="shared" si="27"/>
        <v>1.4245800093852652</v>
      </c>
      <c r="J83" s="203">
        <v>104400</v>
      </c>
      <c r="K83" s="202">
        <f t="shared" si="28"/>
        <v>199178</v>
      </c>
      <c r="L83" s="31"/>
      <c r="M83" s="31"/>
      <c r="N83" s="127" t="s">
        <v>95</v>
      </c>
      <c r="O83" s="131" t="s">
        <v>98</v>
      </c>
      <c r="Q83" s="317">
        <v>1012235.16</v>
      </c>
      <c r="R83" s="335">
        <v>532137.71</v>
      </c>
      <c r="T83" s="19">
        <v>399544.07</v>
      </c>
      <c r="U83" s="342">
        <v>532137.71</v>
      </c>
      <c r="V83" s="348"/>
      <c r="W83" s="338">
        <v>256955.51999999999</v>
      </c>
      <c r="X83" s="340">
        <v>246437.67</v>
      </c>
      <c r="Z83" s="127" t="s">
        <v>95</v>
      </c>
      <c r="AA83" s="131" t="s">
        <v>98</v>
      </c>
      <c r="AC83" s="203">
        <v>104400</v>
      </c>
      <c r="AD83" s="345">
        <f t="shared" si="23"/>
        <v>427737.70999999996</v>
      </c>
      <c r="AF83" s="325">
        <v>588686.41962845507</v>
      </c>
      <c r="AG83" s="329">
        <v>215122.41962845501</v>
      </c>
      <c r="AH83" s="290">
        <v>373564</v>
      </c>
      <c r="AK83" s="127" t="s">
        <v>95</v>
      </c>
      <c r="AL83" s="131" t="s">
        <v>98</v>
      </c>
      <c r="AN83" s="553">
        <f t="shared" si="29"/>
        <v>132593.63999999996</v>
      </c>
      <c r="AO83" s="439">
        <f t="shared" si="19"/>
        <v>1.331862365020209</v>
      </c>
      <c r="AP83" s="762">
        <f>AO83-AO86</f>
        <v>-0.36450870173571626</v>
      </c>
      <c r="AR83" s="324">
        <f t="shared" si="30"/>
        <v>56548.709628455108</v>
      </c>
      <c r="AS83" s="439">
        <f t="shared" si="20"/>
        <v>1.1062670593829089</v>
      </c>
      <c r="AT83" s="761">
        <f>AS83-AS86</f>
        <v>-0.10964348125782331</v>
      </c>
      <c r="AV83" s="324">
        <f t="shared" si="24"/>
        <v>189142.34962845506</v>
      </c>
      <c r="AW83" s="439">
        <f t="shared" si="21"/>
        <v>1.4733954620536729</v>
      </c>
      <c r="AX83" s="763">
        <f>AW83-AW86</f>
        <v>-0.58923999885281986</v>
      </c>
      <c r="AZ83" s="127" t="s">
        <v>95</v>
      </c>
      <c r="BA83" s="131" t="s">
        <v>98</v>
      </c>
      <c r="BC83" s="220">
        <f t="shared" si="25"/>
        <v>-25980.070000000007</v>
      </c>
      <c r="BD83" s="439">
        <f t="shared" si="22"/>
        <v>0.93497570868715429</v>
      </c>
      <c r="BE83" s="568" t="s">
        <v>357</v>
      </c>
      <c r="BF83" s="705">
        <f>BD83-BD86</f>
        <v>0.15326218382829881</v>
      </c>
    </row>
    <row r="84" spans="1:58" s="4" customFormat="1" ht="13.5" customHeight="1" x14ac:dyDescent="0.3">
      <c r="A84" s="127" t="s">
        <v>95</v>
      </c>
      <c r="B84" s="131" t="s">
        <v>99</v>
      </c>
      <c r="C84" s="3"/>
      <c r="D84" s="203">
        <v>118148</v>
      </c>
      <c r="E84" s="202">
        <v>430915</v>
      </c>
      <c r="G84" s="192">
        <f>E84-D84</f>
        <v>312767</v>
      </c>
      <c r="H84" s="253">
        <f>E84/D84</f>
        <v>3.6472475200595862</v>
      </c>
      <c r="J84" s="203">
        <v>317203</v>
      </c>
      <c r="K84" s="202">
        <f>E84-J84</f>
        <v>113712</v>
      </c>
      <c r="L84" s="31"/>
      <c r="M84" s="31"/>
      <c r="N84" s="127" t="s">
        <v>95</v>
      </c>
      <c r="O84" s="131" t="s">
        <v>99</v>
      </c>
      <c r="Q84" s="317">
        <v>467231.34</v>
      </c>
      <c r="R84" s="335">
        <v>910071.09</v>
      </c>
      <c r="T84" s="19">
        <v>467231.34</v>
      </c>
      <c r="U84" s="342">
        <v>910071.09</v>
      </c>
      <c r="V84" s="348"/>
      <c r="W84" s="338">
        <v>130989.56</v>
      </c>
      <c r="X84" s="340">
        <v>461423.37</v>
      </c>
      <c r="Z84" s="127" t="s">
        <v>95</v>
      </c>
      <c r="AA84" s="131" t="s">
        <v>99</v>
      </c>
      <c r="AC84" s="203">
        <v>317203</v>
      </c>
      <c r="AD84" s="345">
        <f t="shared" si="23"/>
        <v>592868.09</v>
      </c>
      <c r="AF84" s="325">
        <v>1015000.1170047018</v>
      </c>
      <c r="AG84" s="329">
        <v>575688.11700470175</v>
      </c>
      <c r="AH84" s="290">
        <v>439312</v>
      </c>
      <c r="AK84" s="127" t="s">
        <v>95</v>
      </c>
      <c r="AL84" s="131" t="s">
        <v>99</v>
      </c>
      <c r="AN84" s="553">
        <f t="shared" si="29"/>
        <v>442839.74999999994</v>
      </c>
      <c r="AO84" s="439">
        <f t="shared" si="19"/>
        <v>1.9477954753634461</v>
      </c>
      <c r="AP84" s="756">
        <f>AO84-AO86</f>
        <v>0.2514244086075208</v>
      </c>
      <c r="AR84" s="324">
        <f t="shared" si="30"/>
        <v>104929.02700470178</v>
      </c>
      <c r="AS84" s="439">
        <f t="shared" si="20"/>
        <v>1.1152976159309729</v>
      </c>
      <c r="AT84" s="761">
        <f>AS84-AS86</f>
        <v>-0.10061292470975935</v>
      </c>
      <c r="AV84" s="324">
        <f t="shared" si="24"/>
        <v>547768.77700470178</v>
      </c>
      <c r="AW84" s="439">
        <f t="shared" si="21"/>
        <v>2.1723716499939871</v>
      </c>
      <c r="AX84" s="755">
        <f>AW84-AW86</f>
        <v>0.10973618908749438</v>
      </c>
      <c r="AZ84" s="127" t="s">
        <v>95</v>
      </c>
      <c r="BA84" s="131" t="s">
        <v>99</v>
      </c>
      <c r="BC84" s="220">
        <f t="shared" si="25"/>
        <v>-27919.340000000026</v>
      </c>
      <c r="BD84" s="439">
        <f t="shared" si="22"/>
        <v>0.94024514708281337</v>
      </c>
      <c r="BE84" s="568" t="s">
        <v>357</v>
      </c>
      <c r="BF84" s="705">
        <f>BD84-BD86</f>
        <v>0.15853162222395789</v>
      </c>
    </row>
    <row r="85" spans="1:58" s="4" customFormat="1" ht="13.5" customHeight="1" thickBot="1" x14ac:dyDescent="0.35">
      <c r="A85" s="129" t="s">
        <v>95</v>
      </c>
      <c r="B85" s="132" t="s">
        <v>100</v>
      </c>
      <c r="C85" s="3"/>
      <c r="D85" s="222">
        <v>137434</v>
      </c>
      <c r="E85" s="221">
        <v>529687</v>
      </c>
      <c r="G85" s="176">
        <f t="shared" ref="G85" si="31">E85-D85</f>
        <v>392253</v>
      </c>
      <c r="H85" s="255">
        <f t="shared" ref="H85" si="32">E85/D85</f>
        <v>3.8541190680617605</v>
      </c>
      <c r="J85" s="223">
        <v>416924</v>
      </c>
      <c r="K85" s="256">
        <f t="shared" ref="K85" si="33">E85-J85</f>
        <v>112763</v>
      </c>
      <c r="L85" s="31"/>
      <c r="M85" s="31"/>
      <c r="N85" s="129" t="s">
        <v>95</v>
      </c>
      <c r="O85" s="334" t="s">
        <v>100</v>
      </c>
      <c r="Q85" s="317">
        <v>248305.2</v>
      </c>
      <c r="R85" s="337">
        <v>681373.49</v>
      </c>
      <c r="T85" s="323">
        <v>248305.2</v>
      </c>
      <c r="U85" s="344">
        <v>681373.49</v>
      </c>
      <c r="V85" s="348"/>
      <c r="W85" s="772">
        <v>248305.2</v>
      </c>
      <c r="X85" s="773">
        <v>681373.49</v>
      </c>
      <c r="Z85" s="129" t="s">
        <v>95</v>
      </c>
      <c r="AA85" s="132" t="s">
        <v>100</v>
      </c>
      <c r="AC85" s="222">
        <v>416924</v>
      </c>
      <c r="AD85" s="346">
        <f t="shared" si="23"/>
        <v>264449.49</v>
      </c>
      <c r="AF85" s="326">
        <v>1057000.0993511146</v>
      </c>
      <c r="AG85" s="330">
        <v>636629.09935111471</v>
      </c>
      <c r="AH85" s="291">
        <v>420371</v>
      </c>
      <c r="AK85" s="129" t="s">
        <v>95</v>
      </c>
      <c r="AL85" s="132" t="s">
        <v>100</v>
      </c>
      <c r="AN85" s="553">
        <f t="shared" si="29"/>
        <v>433068.29</v>
      </c>
      <c r="AO85" s="551">
        <f t="shared" si="19"/>
        <v>2.7440967406240384</v>
      </c>
      <c r="AP85" s="760">
        <f>AO85-AO86</f>
        <v>1.0477256738681131</v>
      </c>
      <c r="AR85" s="547">
        <f t="shared" si="30"/>
        <v>375626.6093511146</v>
      </c>
      <c r="AS85" s="551">
        <f t="shared" si="20"/>
        <v>1.5512785790229593</v>
      </c>
      <c r="AT85" s="770">
        <f>AS85-AS86</f>
        <v>0.33536803838222706</v>
      </c>
      <c r="AV85" s="547">
        <f t="shared" si="24"/>
        <v>808694.89935111464</v>
      </c>
      <c r="AW85" s="551">
        <f t="shared" si="21"/>
        <v>4.256858492496792</v>
      </c>
      <c r="AX85" s="760">
        <f>AW85-AW86</f>
        <v>2.1942230315902993</v>
      </c>
      <c r="AZ85" s="129" t="s">
        <v>95</v>
      </c>
      <c r="BA85" s="132" t="s">
        <v>100</v>
      </c>
      <c r="BC85" s="260">
        <f t="shared" si="25"/>
        <v>172065.8</v>
      </c>
      <c r="BD85" s="551">
        <f t="shared" si="22"/>
        <v>1.6929609206734293</v>
      </c>
      <c r="BE85" s="570" t="s">
        <v>453</v>
      </c>
      <c r="BF85" s="723">
        <f>BD85-BD86</f>
        <v>0.91124739581457381</v>
      </c>
    </row>
    <row r="86" spans="1:58" s="4" customFormat="1" ht="13.5" customHeight="1" thickBot="1" x14ac:dyDescent="0.35">
      <c r="A86" s="38"/>
      <c r="B86" s="133" t="s">
        <v>3</v>
      </c>
      <c r="C86" s="3"/>
      <c r="D86" s="180">
        <f>SUM(D7:D85)</f>
        <v>16447084</v>
      </c>
      <c r="E86" s="136">
        <f>SUM(E7:E85)</f>
        <v>44423271</v>
      </c>
      <c r="G86" s="180">
        <f t="shared" si="26"/>
        <v>27976187</v>
      </c>
      <c r="H86" s="201">
        <f t="shared" si="27"/>
        <v>2.7009815843343414</v>
      </c>
      <c r="J86" s="224">
        <f>SUM(J7:J85)</f>
        <v>39200000</v>
      </c>
      <c r="K86" s="224">
        <f>E86-J86</f>
        <v>5223271</v>
      </c>
      <c r="L86" s="31"/>
      <c r="M86" s="31"/>
      <c r="N86" s="38"/>
      <c r="O86" s="37" t="s">
        <v>3</v>
      </c>
      <c r="Q86" s="161">
        <f>SUM(Q7:Q85)</f>
        <v>55265516.36999999</v>
      </c>
      <c r="R86" s="217">
        <f>SUM(R7:R85)</f>
        <v>78216547.560000002</v>
      </c>
      <c r="T86" s="161">
        <f>SUM(T7:T85)</f>
        <v>46387547.160000011</v>
      </c>
      <c r="U86" s="217">
        <f>SUM(U7:U85)</f>
        <v>78690492.860000014</v>
      </c>
      <c r="V86" s="31"/>
      <c r="W86" s="161">
        <f>SUM(W7:W85)</f>
        <v>28484882.260000005</v>
      </c>
      <c r="X86" s="347">
        <f>SUM(X7:X85)</f>
        <v>56949185.280000001</v>
      </c>
      <c r="Z86" s="38"/>
      <c r="AA86" s="133" t="s">
        <v>3</v>
      </c>
      <c r="AC86" s="161">
        <f>SUM(AC7:AC85)</f>
        <v>39200000</v>
      </c>
      <c r="AD86" s="347">
        <f t="shared" si="23"/>
        <v>39490492.860000014</v>
      </c>
      <c r="AF86" s="327">
        <f>SUM(AF7:AF85)</f>
        <v>95680599.71668829</v>
      </c>
      <c r="AG86" s="331">
        <f>SUM(AG7:AG85)</f>
        <v>59418826.716688238</v>
      </c>
      <c r="AH86" s="278">
        <f>SUM(AH7:AH85)</f>
        <v>36261773</v>
      </c>
      <c r="AK86" s="38"/>
      <c r="AL86" s="133" t="s">
        <v>3</v>
      </c>
      <c r="AN86" s="553">
        <f t="shared" si="29"/>
        <v>32302945.700000003</v>
      </c>
      <c r="AO86" s="461">
        <f t="shared" si="19"/>
        <v>1.6963710667559253</v>
      </c>
      <c r="AP86" s="550">
        <f>AO86-AO86</f>
        <v>0</v>
      </c>
      <c r="AR86" s="327">
        <f t="shared" si="30"/>
        <v>16990106.856688276</v>
      </c>
      <c r="AS86" s="461">
        <f t="shared" si="20"/>
        <v>1.2159105406407322</v>
      </c>
      <c r="AT86" s="550">
        <f>AS86-AS86</f>
        <v>0</v>
      </c>
      <c r="AV86" s="327">
        <f t="shared" si="24"/>
        <v>49293052.556688279</v>
      </c>
      <c r="AW86" s="461">
        <f t="shared" si="21"/>
        <v>2.0626354609064927</v>
      </c>
      <c r="AX86" s="550">
        <f>AW86-AW86</f>
        <v>0</v>
      </c>
      <c r="AZ86" s="38"/>
      <c r="BA86" s="133" t="s">
        <v>3</v>
      </c>
      <c r="BC86" s="161">
        <f t="shared" si="25"/>
        <v>-10125774.160000011</v>
      </c>
      <c r="BD86" s="461">
        <f t="shared" si="22"/>
        <v>0.78171352485885548</v>
      </c>
      <c r="BE86" s="566" t="s">
        <v>356</v>
      </c>
      <c r="BF86" s="506">
        <f>BD86-BD86</f>
        <v>0</v>
      </c>
    </row>
    <row r="87" spans="1:58" s="3" customFormat="1" ht="13.5" customHeight="1" x14ac:dyDescent="0.3">
      <c r="Q87" s="27"/>
      <c r="R87" s="27"/>
      <c r="AN87" s="559"/>
    </row>
    <row r="88" spans="1:58" s="3" customFormat="1" ht="13.5" customHeight="1" x14ac:dyDescent="0.3">
      <c r="A88" s="4" t="s">
        <v>211</v>
      </c>
      <c r="I88" s="717"/>
      <c r="Q88" s="27"/>
      <c r="R88" s="27"/>
      <c r="T88" s="27"/>
      <c r="U88" s="27"/>
      <c r="V88" s="27"/>
      <c r="W88" s="27"/>
      <c r="AC88" s="27"/>
      <c r="AD88" s="27"/>
      <c r="AG88" s="725"/>
      <c r="AH88" s="27"/>
      <c r="AN88" s="559"/>
    </row>
    <row r="89" spans="1:58" s="3" customFormat="1" ht="14" x14ac:dyDescent="0.3">
      <c r="A89" s="8" t="s">
        <v>207</v>
      </c>
      <c r="B89" s="8"/>
      <c r="C89" s="8"/>
      <c r="D89" s="8"/>
      <c r="E89" s="8"/>
      <c r="F89" s="9"/>
      <c r="G89" s="4"/>
      <c r="H89" s="4"/>
      <c r="AN89" s="559"/>
    </row>
    <row r="90" spans="1:58" s="3" customFormat="1" ht="14" x14ac:dyDescent="0.3">
      <c r="A90" s="3" t="s">
        <v>464</v>
      </c>
      <c r="AK90" s="53" t="s">
        <v>496</v>
      </c>
      <c r="AM90" s="4"/>
      <c r="AN90" s="4"/>
      <c r="AZ90" s="40" t="s">
        <v>487</v>
      </c>
    </row>
    <row r="91" spans="1:58" s="3" customFormat="1" ht="14" x14ac:dyDescent="0.3">
      <c r="A91" s="3" t="s">
        <v>466</v>
      </c>
      <c r="AF91" s="31"/>
      <c r="AK91" s="58"/>
      <c r="AL91" s="3" t="s">
        <v>492</v>
      </c>
      <c r="AN91" s="55"/>
      <c r="AO91" s="57" t="s">
        <v>488</v>
      </c>
      <c r="AP91" s="57"/>
      <c r="AW91" s="27"/>
      <c r="AX91" s="27"/>
      <c r="AZ91" s="53" t="s">
        <v>480</v>
      </c>
      <c r="BD91" s="4"/>
      <c r="BE91" s="4"/>
    </row>
    <row r="92" spans="1:58" s="3" customFormat="1" ht="14" x14ac:dyDescent="0.3">
      <c r="A92" s="3" t="s">
        <v>463</v>
      </c>
      <c r="AK92" s="59"/>
      <c r="AL92" s="3" t="s">
        <v>493</v>
      </c>
      <c r="AN92" s="56"/>
      <c r="AO92" s="57" t="s">
        <v>489</v>
      </c>
      <c r="AP92" s="57"/>
      <c r="AZ92" s="58"/>
      <c r="BA92" s="3" t="s">
        <v>484</v>
      </c>
      <c r="BC92" s="55"/>
      <c r="BD92" s="57" t="s">
        <v>414</v>
      </c>
      <c r="BE92" s="57"/>
    </row>
    <row r="93" spans="1:58" s="3" customFormat="1" ht="14" x14ac:dyDescent="0.3">
      <c r="A93" s="3" t="s">
        <v>465</v>
      </c>
      <c r="AK93" s="60"/>
      <c r="AL93" s="3" t="s">
        <v>494</v>
      </c>
      <c r="AN93" s="54"/>
      <c r="AO93" s="57" t="s">
        <v>490</v>
      </c>
      <c r="AP93" s="57"/>
      <c r="AZ93" s="59"/>
      <c r="BA93" s="3" t="s">
        <v>331</v>
      </c>
      <c r="BC93" s="56"/>
      <c r="BD93" s="57" t="s">
        <v>416</v>
      </c>
      <c r="BE93" s="57"/>
    </row>
    <row r="94" spans="1:58" s="3" customFormat="1" ht="14" x14ac:dyDescent="0.3">
      <c r="A94" s="8" t="s">
        <v>455</v>
      </c>
      <c r="B94" s="8"/>
      <c r="C94" s="8"/>
      <c r="D94" s="8"/>
      <c r="E94" s="8"/>
      <c r="F94" s="9"/>
      <c r="G94" s="4"/>
      <c r="H94" s="4"/>
      <c r="AK94" s="61"/>
      <c r="AL94" s="3" t="s">
        <v>495</v>
      </c>
      <c r="AN94" s="43"/>
      <c r="AO94" s="57" t="s">
        <v>491</v>
      </c>
      <c r="AP94" s="42"/>
      <c r="AZ94" s="60"/>
      <c r="BA94" s="3" t="s">
        <v>485</v>
      </c>
      <c r="BC94" s="54"/>
      <c r="BD94" s="57" t="s">
        <v>448</v>
      </c>
      <c r="BE94" s="57"/>
    </row>
    <row r="95" spans="1:58" s="3" customFormat="1" ht="13.5" customHeight="1" x14ac:dyDescent="0.3">
      <c r="A95" s="8" t="s">
        <v>218</v>
      </c>
      <c r="B95" s="8"/>
      <c r="C95" s="8"/>
      <c r="D95" s="8"/>
      <c r="E95" s="8"/>
      <c r="F95" s="9"/>
      <c r="G95" s="4"/>
      <c r="H95" s="4"/>
      <c r="AN95" s="559"/>
      <c r="AZ95" s="61"/>
      <c r="BA95" s="3" t="s">
        <v>486</v>
      </c>
      <c r="BC95" s="43"/>
      <c r="BD95" s="57" t="s">
        <v>449</v>
      </c>
      <c r="BE95" s="42"/>
    </row>
    <row r="96" spans="1:58" s="3" customFormat="1" ht="13.5" customHeight="1" x14ac:dyDescent="0.3">
      <c r="A96" s="8" t="s">
        <v>456</v>
      </c>
      <c r="B96" s="8"/>
      <c r="C96" s="8"/>
      <c r="D96" s="8"/>
      <c r="E96" s="8"/>
      <c r="F96" s="9"/>
      <c r="G96" s="4"/>
      <c r="H96" s="4"/>
      <c r="AN96" s="559"/>
      <c r="BC96" s="4"/>
      <c r="BD96" s="57"/>
      <c r="BE96" s="42"/>
    </row>
    <row r="97" spans="1:57" s="3" customFormat="1" ht="13.5" customHeight="1" x14ac:dyDescent="0.3">
      <c r="A97" s="8" t="s">
        <v>218</v>
      </c>
      <c r="B97" s="8"/>
      <c r="C97" s="8"/>
      <c r="D97" s="8"/>
      <c r="E97" s="8"/>
      <c r="F97" s="9"/>
      <c r="G97" s="4"/>
      <c r="H97" s="4"/>
      <c r="AN97" s="559"/>
      <c r="AZ97" s="53" t="s">
        <v>481</v>
      </c>
      <c r="BB97" s="4"/>
      <c r="BC97" s="4"/>
    </row>
    <row r="98" spans="1:57" s="3" customFormat="1" ht="13.5" customHeight="1" x14ac:dyDescent="0.3">
      <c r="A98" s="3" t="s">
        <v>144</v>
      </c>
      <c r="F98" s="4"/>
      <c r="G98" s="4"/>
      <c r="H98" s="4"/>
      <c r="AN98" s="559"/>
      <c r="AZ98" s="58"/>
      <c r="BA98" s="3" t="s">
        <v>316</v>
      </c>
      <c r="BC98" s="55"/>
      <c r="BD98" s="57" t="s">
        <v>359</v>
      </c>
      <c r="BE98" s="57"/>
    </row>
    <row r="99" spans="1:57" s="3" customFormat="1" ht="13.5" customHeight="1" x14ac:dyDescent="0.3">
      <c r="A99" s="3" t="s">
        <v>143</v>
      </c>
      <c r="F99" s="4"/>
      <c r="G99" s="4"/>
      <c r="H99" s="4"/>
      <c r="AN99" s="559"/>
      <c r="AZ99" s="59"/>
      <c r="BA99" s="3" t="s">
        <v>317</v>
      </c>
      <c r="BC99" s="56"/>
      <c r="BD99" s="57" t="s">
        <v>360</v>
      </c>
      <c r="BE99" s="57"/>
    </row>
    <row r="100" spans="1:57" s="3" customFormat="1" ht="13.5" customHeight="1" x14ac:dyDescent="0.3">
      <c r="A100" s="40" t="s">
        <v>171</v>
      </c>
      <c r="AN100" s="559"/>
      <c r="AZ100" s="60"/>
      <c r="BA100" s="3" t="s">
        <v>318</v>
      </c>
      <c r="BC100" s="54"/>
      <c r="BD100" s="57" t="s">
        <v>361</v>
      </c>
      <c r="BE100" s="57"/>
    </row>
    <row r="101" spans="1:57" s="3" customFormat="1" ht="14" x14ac:dyDescent="0.3">
      <c r="A101" s="3" t="s">
        <v>458</v>
      </c>
      <c r="AN101" s="559"/>
      <c r="AZ101" s="61"/>
      <c r="BA101" s="3" t="s">
        <v>319</v>
      </c>
      <c r="BC101" s="43"/>
      <c r="BD101" s="57" t="s">
        <v>362</v>
      </c>
      <c r="BE101" s="42"/>
    </row>
    <row r="102" spans="1:57" s="3" customFormat="1" ht="14" x14ac:dyDescent="0.3">
      <c r="A102" s="3" t="s">
        <v>298</v>
      </c>
      <c r="AN102" s="559"/>
    </row>
    <row r="103" spans="1:57" s="3" customFormat="1" ht="14" x14ac:dyDescent="0.3">
      <c r="A103" s="3" t="s">
        <v>459</v>
      </c>
      <c r="AN103" s="559"/>
    </row>
    <row r="104" spans="1:57" s="3" customFormat="1" ht="14" x14ac:dyDescent="0.3">
      <c r="A104" s="3" t="s">
        <v>460</v>
      </c>
      <c r="AN104" s="559"/>
    </row>
    <row r="105" spans="1:57" x14ac:dyDescent="0.35">
      <c r="A105" s="3" t="s">
        <v>482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57" x14ac:dyDescent="0.35">
      <c r="A106" s="3" t="s">
        <v>483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</row>
  </sheetData>
  <mergeCells count="10">
    <mergeCell ref="BA4:BA6"/>
    <mergeCell ref="A4:A6"/>
    <mergeCell ref="B4:B6"/>
    <mergeCell ref="AK4:AK6"/>
    <mergeCell ref="AL4:AL6"/>
    <mergeCell ref="Z4:Z6"/>
    <mergeCell ref="AA4:AA6"/>
    <mergeCell ref="O4:O6"/>
    <mergeCell ref="N4:N6"/>
    <mergeCell ref="AZ4:AZ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686E-EFD4-40BA-8408-9A206F12300C}">
  <dimension ref="A1:I137"/>
  <sheetViews>
    <sheetView topLeftCell="A101" zoomScale="160" zoomScaleNormal="160" workbookViewId="0">
      <selection activeCell="I86" sqref="I86"/>
    </sheetView>
  </sheetViews>
  <sheetFormatPr defaultRowHeight="14.5" x14ac:dyDescent="0.35"/>
  <cols>
    <col min="1" max="1" width="10" customWidth="1"/>
    <col min="2" max="2" width="18.90625" customWidth="1"/>
    <col min="3" max="3" width="12.90625" customWidth="1"/>
    <col min="4" max="4" width="11.08984375" customWidth="1"/>
    <col min="5" max="5" width="13.1796875" customWidth="1"/>
    <col min="6" max="6" width="13.36328125" customWidth="1"/>
    <col min="7" max="7" width="13.54296875" customWidth="1"/>
    <col min="8" max="8" width="13.36328125" customWidth="1"/>
    <col min="9" max="9" width="14.36328125" customWidth="1"/>
    <col min="10" max="10" width="1.90625" customWidth="1"/>
  </cols>
  <sheetData>
    <row r="1" spans="1:9" s="2" customFormat="1" ht="18.5" x14ac:dyDescent="0.45">
      <c r="A1" s="1" t="s">
        <v>177</v>
      </c>
      <c r="C1" s="85"/>
      <c r="D1" s="85"/>
      <c r="E1" s="85"/>
      <c r="F1" s="85"/>
      <c r="G1" s="85"/>
      <c r="H1" s="85"/>
      <c r="I1" s="85"/>
    </row>
    <row r="2" spans="1:9" s="2" customFormat="1" ht="18.5" x14ac:dyDescent="0.45">
      <c r="A2" s="1" t="s">
        <v>178</v>
      </c>
      <c r="C2" s="1"/>
      <c r="D2" s="1"/>
      <c r="E2" s="1"/>
      <c r="F2" s="1"/>
      <c r="G2" s="1"/>
      <c r="H2" s="1"/>
      <c r="I2" s="1" t="s">
        <v>148</v>
      </c>
    </row>
    <row r="3" spans="1:9" s="3" customFormat="1" thickBot="1" x14ac:dyDescent="0.35">
      <c r="A3" s="84"/>
      <c r="B3" s="86"/>
      <c r="C3" s="84"/>
      <c r="D3" s="84"/>
      <c r="E3" s="84"/>
      <c r="F3" s="84"/>
      <c r="G3" s="84"/>
      <c r="H3" s="84"/>
      <c r="I3" s="84"/>
    </row>
    <row r="4" spans="1:9" s="3" customFormat="1" ht="14" customHeight="1" x14ac:dyDescent="0.3">
      <c r="A4" s="805" t="s">
        <v>0</v>
      </c>
      <c r="B4" s="808" t="s">
        <v>1</v>
      </c>
      <c r="C4" s="87" t="s">
        <v>151</v>
      </c>
      <c r="D4" s="87"/>
      <c r="E4" s="87"/>
      <c r="F4" s="87"/>
      <c r="G4" s="87"/>
      <c r="H4" s="87"/>
      <c r="I4" s="88"/>
    </row>
    <row r="5" spans="1:9" s="3" customFormat="1" ht="14" x14ac:dyDescent="0.3">
      <c r="A5" s="806"/>
      <c r="B5" s="809"/>
      <c r="C5" s="86" t="s">
        <v>474</v>
      </c>
      <c r="D5" s="86"/>
      <c r="E5" s="86"/>
      <c r="F5" s="86"/>
      <c r="G5" s="86"/>
      <c r="H5" s="86"/>
      <c r="I5" s="89"/>
    </row>
    <row r="6" spans="1:9" s="3" customFormat="1" thickBot="1" x14ac:dyDescent="0.35">
      <c r="A6" s="807"/>
      <c r="B6" s="810"/>
      <c r="C6" s="138" t="s">
        <v>149</v>
      </c>
      <c r="D6" s="90" t="s">
        <v>150</v>
      </c>
      <c r="E6" s="90" t="s">
        <v>147</v>
      </c>
      <c r="F6" s="90">
        <v>2025</v>
      </c>
      <c r="G6" s="90">
        <v>2026</v>
      </c>
      <c r="H6" s="90">
        <v>2027</v>
      </c>
      <c r="I6" s="91">
        <v>2028</v>
      </c>
    </row>
    <row r="7" spans="1:9" s="3" customFormat="1" thickBot="1" x14ac:dyDescent="0.35">
      <c r="A7" s="92" t="s">
        <v>7</v>
      </c>
      <c r="B7" s="139" t="s">
        <v>8</v>
      </c>
      <c r="C7" s="62">
        <f>ROUND('[1]Tulumaks 2021-2024'!K4/2.5*1.88,-3)</f>
        <v>254000</v>
      </c>
      <c r="D7" s="143">
        <f>[1]Tasandusfond!AY4/[1]Tasandusfond!AY$83*[1]Tasandusfond!AY$84</f>
        <v>22925.467142961992</v>
      </c>
      <c r="E7" s="146">
        <f>C7+D7</f>
        <v>276925.46714296198</v>
      </c>
      <c r="F7" s="137">
        <f>E7*1.08</f>
        <v>299079.50451439893</v>
      </c>
      <c r="G7" s="93">
        <f>F7*1.08</f>
        <v>323005.86487555085</v>
      </c>
      <c r="H7" s="93">
        <f>G7*1.07</f>
        <v>345616.2754168394</v>
      </c>
      <c r="I7" s="94">
        <f>H7*1.06</f>
        <v>366353.25194184977</v>
      </c>
    </row>
    <row r="8" spans="1:9" s="3" customFormat="1" thickBot="1" x14ac:dyDescent="0.35">
      <c r="A8" s="95" t="s">
        <v>7</v>
      </c>
      <c r="B8" s="140" t="s">
        <v>9</v>
      </c>
      <c r="C8" s="63">
        <f>ROUND('[1]Tulumaks 2021-2024'!K5/2.5*1.88,-3)</f>
        <v>427000</v>
      </c>
      <c r="D8" s="144">
        <f>[1]Tasandusfond!AY5/[1]Tasandusfond!AY$83*[1]Tasandusfond!AY$84</f>
        <v>38932.58445195642</v>
      </c>
      <c r="E8" s="146">
        <f t="shared" ref="E8:E71" si="0">C8+D8</f>
        <v>465932.58445195644</v>
      </c>
      <c r="F8" s="137">
        <f t="shared" ref="F8:G71" si="1">E8*1.08</f>
        <v>503207.19120811298</v>
      </c>
      <c r="G8" s="93">
        <f t="shared" si="1"/>
        <v>543463.76650476211</v>
      </c>
      <c r="H8" s="93">
        <f t="shared" ref="H8:H71" si="2">G8*1.07</f>
        <v>581506.2301600955</v>
      </c>
      <c r="I8" s="94">
        <f t="shared" ref="I8:I71" si="3">H8*1.06</f>
        <v>616396.60396970122</v>
      </c>
    </row>
    <row r="9" spans="1:9" s="3" customFormat="1" thickBot="1" x14ac:dyDescent="0.35">
      <c r="A9" s="95" t="s">
        <v>7</v>
      </c>
      <c r="B9" s="140" t="s">
        <v>10</v>
      </c>
      <c r="C9" s="63">
        <f>ROUND('[1]Tulumaks 2021-2024'!K6/2.5*1.88,-3)</f>
        <v>228000</v>
      </c>
      <c r="D9" s="144">
        <f>[1]Tasandusfond!AY6/[1]Tasandusfond!AY$83*[1]Tasandusfond!AY$84</f>
        <v>20684.939450145273</v>
      </c>
      <c r="E9" s="146">
        <f t="shared" si="0"/>
        <v>248684.93945014526</v>
      </c>
      <c r="F9" s="137">
        <f t="shared" si="1"/>
        <v>268579.73460615688</v>
      </c>
      <c r="G9" s="93">
        <f t="shared" si="1"/>
        <v>290066.11337464943</v>
      </c>
      <c r="H9" s="93">
        <f t="shared" si="2"/>
        <v>310370.74131087493</v>
      </c>
      <c r="I9" s="94">
        <f t="shared" si="3"/>
        <v>328992.98578952742</v>
      </c>
    </row>
    <row r="10" spans="1:9" s="3" customFormat="1" thickBot="1" x14ac:dyDescent="0.35">
      <c r="A10" s="95" t="s">
        <v>7</v>
      </c>
      <c r="B10" s="140" t="s">
        <v>11</v>
      </c>
      <c r="C10" s="63">
        <f>ROUND('[1]Tulumaks 2021-2024'!K7/2.5*1.88,-3)</f>
        <v>333000</v>
      </c>
      <c r="D10" s="144">
        <f>[1]Tasandusfond!AY7/[1]Tasandusfond!AY$83*[1]Tasandusfond!AY$84</f>
        <v>30317.656659426942</v>
      </c>
      <c r="E10" s="146">
        <f t="shared" si="0"/>
        <v>363317.65665942692</v>
      </c>
      <c r="F10" s="137">
        <f t="shared" si="1"/>
        <v>392383.06919218111</v>
      </c>
      <c r="G10" s="93">
        <f t="shared" si="1"/>
        <v>423773.71472755563</v>
      </c>
      <c r="H10" s="93">
        <f t="shared" si="2"/>
        <v>453437.87475848454</v>
      </c>
      <c r="I10" s="94">
        <f t="shared" si="3"/>
        <v>480644.14724399365</v>
      </c>
    </row>
    <row r="11" spans="1:9" s="3" customFormat="1" thickBot="1" x14ac:dyDescent="0.35">
      <c r="A11" s="95" t="s">
        <v>7</v>
      </c>
      <c r="B11" s="140" t="s">
        <v>12</v>
      </c>
      <c r="C11" s="63">
        <f>ROUND('[1]Tulumaks 2021-2024'!K8/2.5*1.88,-3)</f>
        <v>135000</v>
      </c>
      <c r="D11" s="144">
        <f>[1]Tasandusfond!AY8/[1]Tasandusfond!AY$83*[1]Tasandusfond!AY$84</f>
        <v>12243.150117820533</v>
      </c>
      <c r="E11" s="146">
        <f t="shared" si="0"/>
        <v>147243.15011782054</v>
      </c>
      <c r="F11" s="137">
        <f t="shared" si="1"/>
        <v>159022.60212724618</v>
      </c>
      <c r="G11" s="93">
        <f t="shared" si="1"/>
        <v>171744.4102974259</v>
      </c>
      <c r="H11" s="93">
        <f t="shared" si="2"/>
        <v>183766.51901824572</v>
      </c>
      <c r="I11" s="94">
        <f t="shared" si="3"/>
        <v>194792.51015934045</v>
      </c>
    </row>
    <row r="12" spans="1:9" s="3" customFormat="1" thickBot="1" x14ac:dyDescent="0.35">
      <c r="A12" s="95" t="s">
        <v>7</v>
      </c>
      <c r="B12" s="140" t="s">
        <v>13</v>
      </c>
      <c r="C12" s="63">
        <f>ROUND('[1]Tulumaks 2021-2024'!K9/2.5*1.88,-3)</f>
        <v>241000</v>
      </c>
      <c r="D12" s="144">
        <f>[1]Tasandusfond!AY9/[1]Tasandusfond!AY$83*[1]Tasandusfond!AY$84</f>
        <v>21773.736786273574</v>
      </c>
      <c r="E12" s="146">
        <f t="shared" si="0"/>
        <v>262773.7367862736</v>
      </c>
      <c r="F12" s="137">
        <f t="shared" si="1"/>
        <v>283795.63572917553</v>
      </c>
      <c r="G12" s="93">
        <f t="shared" si="1"/>
        <v>306499.28658750962</v>
      </c>
      <c r="H12" s="93">
        <f t="shared" si="2"/>
        <v>327954.2366486353</v>
      </c>
      <c r="I12" s="94">
        <f t="shared" si="3"/>
        <v>347631.49084755342</v>
      </c>
    </row>
    <row r="13" spans="1:9" s="3" customFormat="1" thickBot="1" x14ac:dyDescent="0.35">
      <c r="A13" s="95" t="s">
        <v>7</v>
      </c>
      <c r="B13" s="140" t="s">
        <v>14</v>
      </c>
      <c r="C13" s="63">
        <f>ROUND('[1]Tulumaks 2021-2024'!K10/2.5*1.88,-3)</f>
        <v>264000</v>
      </c>
      <c r="D13" s="144">
        <f>[1]Tasandusfond!AY10/[1]Tasandusfond!AY$83*[1]Tasandusfond!AY$84</f>
        <v>23888.120575935634</v>
      </c>
      <c r="E13" s="146">
        <f t="shared" si="0"/>
        <v>287888.12057593564</v>
      </c>
      <c r="F13" s="137">
        <f t="shared" si="1"/>
        <v>310919.17022201052</v>
      </c>
      <c r="G13" s="93">
        <f t="shared" si="1"/>
        <v>335792.70383977139</v>
      </c>
      <c r="H13" s="93">
        <f t="shared" si="2"/>
        <v>359298.1931085554</v>
      </c>
      <c r="I13" s="94">
        <f t="shared" si="3"/>
        <v>380856.08469506871</v>
      </c>
    </row>
    <row r="14" spans="1:9" s="3" customFormat="1" thickBot="1" x14ac:dyDescent="0.35">
      <c r="A14" s="95" t="s">
        <v>7</v>
      </c>
      <c r="B14" s="140" t="s">
        <v>15</v>
      </c>
      <c r="C14" s="63">
        <f>ROUND('[1]Tulumaks 2021-2024'!K11/2.5*1.88,-3)</f>
        <v>135000</v>
      </c>
      <c r="D14" s="144">
        <f>[1]Tasandusfond!AY11/[1]Tasandusfond!AY$83*[1]Tasandusfond!AY$84</f>
        <v>12170.449175391897</v>
      </c>
      <c r="E14" s="146">
        <f t="shared" si="0"/>
        <v>147170.4491753919</v>
      </c>
      <c r="F14" s="137">
        <f t="shared" si="1"/>
        <v>158944.08510942326</v>
      </c>
      <c r="G14" s="93">
        <f t="shared" si="1"/>
        <v>171659.61191817714</v>
      </c>
      <c r="H14" s="93">
        <f t="shared" si="2"/>
        <v>183675.78475244954</v>
      </c>
      <c r="I14" s="94">
        <f t="shared" si="3"/>
        <v>194696.33183759652</v>
      </c>
    </row>
    <row r="15" spans="1:9" s="3" customFormat="1" thickBot="1" x14ac:dyDescent="0.35">
      <c r="A15" s="95" t="s">
        <v>7</v>
      </c>
      <c r="B15" s="140" t="s">
        <v>16</v>
      </c>
      <c r="C15" s="63">
        <f>ROUND('[1]Tulumaks 2021-2024'!K12/2.5*1.88,-3)</f>
        <v>501000</v>
      </c>
      <c r="D15" s="144">
        <f>[1]Tasandusfond!AY12/[1]Tasandusfond!AY$83*[1]Tasandusfond!AY$84</f>
        <v>45299.061163693848</v>
      </c>
      <c r="E15" s="146">
        <f t="shared" si="0"/>
        <v>546299.0611636939</v>
      </c>
      <c r="F15" s="137">
        <f t="shared" si="1"/>
        <v>590002.98605678941</v>
      </c>
      <c r="G15" s="93">
        <f t="shared" si="1"/>
        <v>637203.22494133259</v>
      </c>
      <c r="H15" s="93">
        <f t="shared" si="2"/>
        <v>681807.45068722591</v>
      </c>
      <c r="I15" s="94">
        <f t="shared" si="3"/>
        <v>722715.89772845944</v>
      </c>
    </row>
    <row r="16" spans="1:9" s="3" customFormat="1" thickBot="1" x14ac:dyDescent="0.35">
      <c r="A16" s="95" t="s">
        <v>7</v>
      </c>
      <c r="B16" s="140" t="s">
        <v>17</v>
      </c>
      <c r="C16" s="63">
        <f>ROUND('[1]Tulumaks 2021-2024'!K13/2.5*1.88,-3)</f>
        <v>633000</v>
      </c>
      <c r="D16" s="144">
        <f>[1]Tasandusfond!AY13/[1]Tasandusfond!AY$83*[1]Tasandusfond!AY$84</f>
        <v>57458.137694848527</v>
      </c>
      <c r="E16" s="146">
        <f t="shared" si="0"/>
        <v>690458.13769484847</v>
      </c>
      <c r="F16" s="137">
        <f t="shared" si="1"/>
        <v>745694.78871043643</v>
      </c>
      <c r="G16" s="93">
        <f t="shared" si="1"/>
        <v>805350.37180727138</v>
      </c>
      <c r="H16" s="93">
        <f t="shared" si="2"/>
        <v>861724.89783378039</v>
      </c>
      <c r="I16" s="94">
        <f t="shared" si="3"/>
        <v>913428.39170380728</v>
      </c>
    </row>
    <row r="17" spans="1:9" s="3" customFormat="1" thickBot="1" x14ac:dyDescent="0.35">
      <c r="A17" s="95" t="s">
        <v>7</v>
      </c>
      <c r="B17" s="140" t="s">
        <v>18</v>
      </c>
      <c r="C17" s="63">
        <f>ROUND('[1]Tulumaks 2021-2024'!K14/2.5*1.88,-3)</f>
        <v>162000</v>
      </c>
      <c r="D17" s="144">
        <f>[1]Tasandusfond!AY14/[1]Tasandusfond!AY$83*[1]Tasandusfond!AY$84</f>
        <v>14607.326139475299</v>
      </c>
      <c r="E17" s="146">
        <f t="shared" si="0"/>
        <v>176607.32613947531</v>
      </c>
      <c r="F17" s="137">
        <f t="shared" si="1"/>
        <v>190735.91223063334</v>
      </c>
      <c r="G17" s="93">
        <f t="shared" si="1"/>
        <v>205994.78520908402</v>
      </c>
      <c r="H17" s="93">
        <f t="shared" si="2"/>
        <v>220414.4201737199</v>
      </c>
      <c r="I17" s="94">
        <f t="shared" si="3"/>
        <v>233639.28538414312</v>
      </c>
    </row>
    <row r="18" spans="1:9" s="3" customFormat="1" thickBot="1" x14ac:dyDescent="0.35">
      <c r="A18" s="95" t="s">
        <v>7</v>
      </c>
      <c r="B18" s="140" t="s">
        <v>19</v>
      </c>
      <c r="C18" s="63">
        <f>ROUND('[1]Tulumaks 2021-2024'!K15/2.5*1.88,-3)</f>
        <v>371000</v>
      </c>
      <c r="D18" s="144">
        <f>[1]Tasandusfond!AY15/[1]Tasandusfond!AY$83*[1]Tasandusfond!AY$84</f>
        <v>33752.990132578489</v>
      </c>
      <c r="E18" s="146">
        <f t="shared" si="0"/>
        <v>404752.99013257847</v>
      </c>
      <c r="F18" s="137">
        <f t="shared" si="1"/>
        <v>437133.22934318479</v>
      </c>
      <c r="G18" s="93">
        <f t="shared" si="1"/>
        <v>472103.88769063959</v>
      </c>
      <c r="H18" s="93">
        <f t="shared" si="2"/>
        <v>505151.15982898441</v>
      </c>
      <c r="I18" s="94">
        <f t="shared" si="3"/>
        <v>535460.22941872349</v>
      </c>
    </row>
    <row r="19" spans="1:9" s="3" customFormat="1" thickBot="1" x14ac:dyDescent="0.35">
      <c r="A19" s="95" t="s">
        <v>7</v>
      </c>
      <c r="B19" s="140" t="s">
        <v>20</v>
      </c>
      <c r="C19" s="63">
        <f>ROUND('[1]Tulumaks 2021-2024'!K16/2.5*1.88,-3)</f>
        <v>311000</v>
      </c>
      <c r="D19" s="144">
        <f>[1]Tasandusfond!AY16/[1]Tasandusfond!AY$83*[1]Tasandusfond!AY$84</f>
        <v>28158.825035764123</v>
      </c>
      <c r="E19" s="146">
        <f t="shared" si="0"/>
        <v>339158.82503576414</v>
      </c>
      <c r="F19" s="137">
        <f t="shared" si="1"/>
        <v>366291.53103862528</v>
      </c>
      <c r="G19" s="93">
        <f t="shared" si="1"/>
        <v>395594.85352171533</v>
      </c>
      <c r="H19" s="93">
        <f t="shared" si="2"/>
        <v>423286.49326823541</v>
      </c>
      <c r="I19" s="94">
        <f t="shared" si="3"/>
        <v>448683.68286432954</v>
      </c>
    </row>
    <row r="20" spans="1:9" s="3" customFormat="1" thickBot="1" x14ac:dyDescent="0.35">
      <c r="A20" s="95" t="s">
        <v>7</v>
      </c>
      <c r="B20" s="140" t="s">
        <v>21</v>
      </c>
      <c r="C20" s="63">
        <f>ROUND('[1]Tulumaks 2021-2024'!K17/2.5*1.88,-3)</f>
        <v>704000</v>
      </c>
      <c r="D20" s="144">
        <f>[1]Tasandusfond!AY17/[1]Tasandusfond!AY$83*[1]Tasandusfond!AY$84</f>
        <v>63756.245381657885</v>
      </c>
      <c r="E20" s="146">
        <f t="shared" si="0"/>
        <v>767756.24538165785</v>
      </c>
      <c r="F20" s="137">
        <f t="shared" si="1"/>
        <v>829176.74501219054</v>
      </c>
      <c r="G20" s="93">
        <f t="shared" si="1"/>
        <v>895510.88461316586</v>
      </c>
      <c r="H20" s="93">
        <f t="shared" si="2"/>
        <v>958196.6465360875</v>
      </c>
      <c r="I20" s="94">
        <f t="shared" si="3"/>
        <v>1015688.4453282529</v>
      </c>
    </row>
    <row r="21" spans="1:9" s="3" customFormat="1" thickBot="1" x14ac:dyDescent="0.35">
      <c r="A21" s="95" t="s">
        <v>7</v>
      </c>
      <c r="B21" s="140" t="s">
        <v>22</v>
      </c>
      <c r="C21" s="63">
        <f>ROUND('[1]Tulumaks 2021-2024'!K18/2.5*1.88,-3)</f>
        <v>15451000</v>
      </c>
      <c r="D21" s="144">
        <f>[1]Tasandusfond!AY18/[1]Tasandusfond!AY$83*[1]Tasandusfond!AY$84</f>
        <v>1395640.5490472268</v>
      </c>
      <c r="E21" s="146">
        <f t="shared" si="0"/>
        <v>16846640.549047228</v>
      </c>
      <c r="F21" s="137">
        <f t="shared" si="1"/>
        <v>18194371.792971008</v>
      </c>
      <c r="G21" s="93">
        <f t="shared" si="1"/>
        <v>19649921.536408689</v>
      </c>
      <c r="H21" s="93">
        <f t="shared" si="2"/>
        <v>21025416.043957297</v>
      </c>
      <c r="I21" s="94">
        <f t="shared" si="3"/>
        <v>22286941.006594736</v>
      </c>
    </row>
    <row r="22" spans="1:9" s="3" customFormat="1" thickBot="1" x14ac:dyDescent="0.35">
      <c r="A22" s="95" t="s">
        <v>7</v>
      </c>
      <c r="B22" s="140" t="s">
        <v>23</v>
      </c>
      <c r="C22" s="63">
        <f>ROUND('[1]Tulumaks 2021-2024'!K19/2.5*1.88,-3)</f>
        <v>632000</v>
      </c>
      <c r="D22" s="144">
        <f>[1]Tasandusfond!AY19/[1]Tasandusfond!AY$83*[1]Tasandusfond!AY$84</f>
        <v>57404.26525756756</v>
      </c>
      <c r="E22" s="146">
        <f t="shared" si="0"/>
        <v>689404.26525756752</v>
      </c>
      <c r="F22" s="137">
        <f t="shared" si="1"/>
        <v>744556.60647817294</v>
      </c>
      <c r="G22" s="93">
        <f t="shared" si="1"/>
        <v>804121.13499642687</v>
      </c>
      <c r="H22" s="93">
        <f t="shared" si="2"/>
        <v>860409.6144461768</v>
      </c>
      <c r="I22" s="94">
        <f t="shared" si="3"/>
        <v>912034.19131294743</v>
      </c>
    </row>
    <row r="23" spans="1:9" s="3" customFormat="1" thickBot="1" x14ac:dyDescent="0.35">
      <c r="A23" s="95" t="s">
        <v>24</v>
      </c>
      <c r="B23" s="140" t="s">
        <v>25</v>
      </c>
      <c r="C23" s="63">
        <f>ROUND('[1]Tulumaks 2021-2024'!K20/2.5*1.88,-3)</f>
        <v>441000</v>
      </c>
      <c r="D23" s="144">
        <f>[1]Tasandusfond!AY20/[1]Tasandusfond!AY$83*[1]Tasandusfond!AY$84</f>
        <v>39916.069174002696</v>
      </c>
      <c r="E23" s="146">
        <f t="shared" si="0"/>
        <v>480916.06917400268</v>
      </c>
      <c r="F23" s="137">
        <f t="shared" si="1"/>
        <v>519389.3547079229</v>
      </c>
      <c r="G23" s="93">
        <f t="shared" si="1"/>
        <v>560940.50308455678</v>
      </c>
      <c r="H23" s="93">
        <f t="shared" si="2"/>
        <v>600206.33830047573</v>
      </c>
      <c r="I23" s="94">
        <f t="shared" si="3"/>
        <v>636218.71859850432</v>
      </c>
    </row>
    <row r="24" spans="1:9" s="3" customFormat="1" thickBot="1" x14ac:dyDescent="0.35">
      <c r="A24" s="95" t="s">
        <v>26</v>
      </c>
      <c r="B24" s="140" t="s">
        <v>27</v>
      </c>
      <c r="C24" s="63">
        <f>ROUND('[1]Tulumaks 2021-2024'!K21/2.5*1.88,-3)</f>
        <v>213000</v>
      </c>
      <c r="D24" s="144">
        <f>[1]Tasandusfond!AY21/[1]Tasandusfond!AY$83*[1]Tasandusfond!AY$84</f>
        <v>19310.397403246316</v>
      </c>
      <c r="E24" s="146">
        <f t="shared" si="0"/>
        <v>232310.39740324632</v>
      </c>
      <c r="F24" s="137">
        <f t="shared" si="1"/>
        <v>250895.22919550605</v>
      </c>
      <c r="G24" s="93">
        <f t="shared" si="1"/>
        <v>270966.84753114654</v>
      </c>
      <c r="H24" s="93">
        <f t="shared" si="2"/>
        <v>289934.5268583268</v>
      </c>
      <c r="I24" s="94">
        <f t="shared" si="3"/>
        <v>307330.59846982645</v>
      </c>
    </row>
    <row r="25" spans="1:9" s="3" customFormat="1" thickBot="1" x14ac:dyDescent="0.35">
      <c r="A25" s="95" t="s">
        <v>26</v>
      </c>
      <c r="B25" s="140" t="s">
        <v>28</v>
      </c>
      <c r="C25" s="63">
        <f>ROUND('[1]Tulumaks 2021-2024'!K22/2.5*1.88,-3)</f>
        <v>573000</v>
      </c>
      <c r="D25" s="144">
        <f>[1]Tasandusfond!AY22/[1]Tasandusfond!AY$83*[1]Tasandusfond!AY$84</f>
        <v>51761.605563436693</v>
      </c>
      <c r="E25" s="146">
        <f t="shared" si="0"/>
        <v>624761.60556343663</v>
      </c>
      <c r="F25" s="137">
        <f t="shared" si="1"/>
        <v>674742.53400851157</v>
      </c>
      <c r="G25" s="93">
        <f t="shared" si="1"/>
        <v>728721.9367291925</v>
      </c>
      <c r="H25" s="93">
        <f t="shared" si="2"/>
        <v>779732.472300236</v>
      </c>
      <c r="I25" s="94">
        <f t="shared" si="3"/>
        <v>826516.42063825019</v>
      </c>
    </row>
    <row r="26" spans="1:9" s="3" customFormat="1" thickBot="1" x14ac:dyDescent="0.35">
      <c r="A26" s="95" t="s">
        <v>26</v>
      </c>
      <c r="B26" s="140" t="s">
        <v>29</v>
      </c>
      <c r="C26" s="63">
        <f>ROUND('[1]Tulumaks 2021-2024'!K23/2.5*1.88,-3)</f>
        <v>1627000</v>
      </c>
      <c r="D26" s="144">
        <f>[1]Tasandusfond!AY23/[1]Tasandusfond!AY$83*[1]Tasandusfond!AY$84</f>
        <v>146959.22300542874</v>
      </c>
      <c r="E26" s="146">
        <f t="shared" si="0"/>
        <v>1773959.2230054287</v>
      </c>
      <c r="F26" s="137">
        <f t="shared" si="1"/>
        <v>1915875.9608458632</v>
      </c>
      <c r="G26" s="93">
        <f t="shared" si="1"/>
        <v>2069146.0377135323</v>
      </c>
      <c r="H26" s="93">
        <f t="shared" si="2"/>
        <v>2213986.2603534795</v>
      </c>
      <c r="I26" s="94">
        <f t="shared" si="3"/>
        <v>2346825.4359746883</v>
      </c>
    </row>
    <row r="27" spans="1:9" s="3" customFormat="1" thickBot="1" x14ac:dyDescent="0.35">
      <c r="A27" s="95" t="s">
        <v>26</v>
      </c>
      <c r="B27" s="140" t="s">
        <v>30</v>
      </c>
      <c r="C27" s="63">
        <f>ROUND('[1]Tulumaks 2021-2024'!K24/2.5*1.88,-3)</f>
        <v>444000</v>
      </c>
      <c r="D27" s="144">
        <f>[1]Tasandusfond!AY24/[1]Tasandusfond!AY$83*[1]Tasandusfond!AY$84</f>
        <v>40059.29951867702</v>
      </c>
      <c r="E27" s="146">
        <f t="shared" si="0"/>
        <v>484059.299518677</v>
      </c>
      <c r="F27" s="137">
        <f t="shared" si="1"/>
        <v>522784.04348017118</v>
      </c>
      <c r="G27" s="93">
        <f t="shared" si="1"/>
        <v>564606.76695858489</v>
      </c>
      <c r="H27" s="93">
        <f t="shared" si="2"/>
        <v>604129.24064568582</v>
      </c>
      <c r="I27" s="94">
        <f t="shared" si="3"/>
        <v>640376.99508442695</v>
      </c>
    </row>
    <row r="28" spans="1:9" s="3" customFormat="1" thickBot="1" x14ac:dyDescent="0.35">
      <c r="A28" s="95" t="s">
        <v>26</v>
      </c>
      <c r="B28" s="140" t="s">
        <v>31</v>
      </c>
      <c r="C28" s="63">
        <f>ROUND('[1]Tulumaks 2021-2024'!K25/2.5*1.88,-3)</f>
        <v>2461000</v>
      </c>
      <c r="D28" s="144">
        <f>[1]Tasandusfond!AY25/[1]Tasandusfond!AY$83*[1]Tasandusfond!AY$84</f>
        <v>222331.7056990054</v>
      </c>
      <c r="E28" s="146">
        <f t="shared" si="0"/>
        <v>2683331.7056990052</v>
      </c>
      <c r="F28" s="137">
        <f t="shared" si="1"/>
        <v>2897998.2421549256</v>
      </c>
      <c r="G28" s="93">
        <f t="shared" si="1"/>
        <v>3129838.1015273198</v>
      </c>
      <c r="H28" s="93">
        <f t="shared" si="2"/>
        <v>3348926.7686342322</v>
      </c>
      <c r="I28" s="94">
        <f t="shared" si="3"/>
        <v>3549862.3747522864</v>
      </c>
    </row>
    <row r="29" spans="1:9" s="3" customFormat="1" thickBot="1" x14ac:dyDescent="0.35">
      <c r="A29" s="95" t="s">
        <v>26</v>
      </c>
      <c r="B29" s="140" t="s">
        <v>32</v>
      </c>
      <c r="C29" s="63">
        <f>ROUND('[1]Tulumaks 2021-2024'!K26/2.5*1.88,-3)</f>
        <v>229000</v>
      </c>
      <c r="D29" s="144">
        <f>[1]Tasandusfond!AY26/[1]Tasandusfond!AY$83*[1]Tasandusfond!AY$84</f>
        <v>20723.619193175011</v>
      </c>
      <c r="E29" s="146">
        <f t="shared" si="0"/>
        <v>249723.61919317502</v>
      </c>
      <c r="F29" s="137">
        <f t="shared" si="1"/>
        <v>269701.50872862904</v>
      </c>
      <c r="G29" s="93">
        <f t="shared" si="1"/>
        <v>291277.62942691939</v>
      </c>
      <c r="H29" s="93">
        <f t="shared" si="2"/>
        <v>311667.06348680379</v>
      </c>
      <c r="I29" s="94">
        <f t="shared" si="3"/>
        <v>330367.08729601203</v>
      </c>
    </row>
    <row r="30" spans="1:9" s="3" customFormat="1" thickBot="1" x14ac:dyDescent="0.35">
      <c r="A30" s="95" t="s">
        <v>26</v>
      </c>
      <c r="B30" s="140" t="s">
        <v>33</v>
      </c>
      <c r="C30" s="63">
        <f>ROUND('[1]Tulumaks 2021-2024'!K27/2.5*1.88,-3)</f>
        <v>673000</v>
      </c>
      <c r="D30" s="144">
        <f>[1]Tasandusfond!AY27/[1]Tasandusfond!AY$83*[1]Tasandusfond!AY$84</f>
        <v>60723.382520102765</v>
      </c>
      <c r="E30" s="146">
        <f t="shared" si="0"/>
        <v>733723.38252010278</v>
      </c>
      <c r="F30" s="137">
        <f t="shared" si="1"/>
        <v>792421.25312171108</v>
      </c>
      <c r="G30" s="93">
        <f t="shared" si="1"/>
        <v>855814.95337144798</v>
      </c>
      <c r="H30" s="93">
        <f t="shared" si="2"/>
        <v>915722.00010744936</v>
      </c>
      <c r="I30" s="94">
        <f t="shared" si="3"/>
        <v>970665.32011389639</v>
      </c>
    </row>
    <row r="31" spans="1:9" s="3" customFormat="1" thickBot="1" x14ac:dyDescent="0.35">
      <c r="A31" s="95" t="s">
        <v>26</v>
      </c>
      <c r="B31" s="140" t="s">
        <v>34</v>
      </c>
      <c r="C31" s="63">
        <f>ROUND('[1]Tulumaks 2021-2024'!K28/2.5*1.88,-3)</f>
        <v>217000</v>
      </c>
      <c r="D31" s="144">
        <f>[1]Tasandusfond!AY28/[1]Tasandusfond!AY$83*[1]Tasandusfond!AY$84</f>
        <v>19663.922064520073</v>
      </c>
      <c r="E31" s="146">
        <f t="shared" si="0"/>
        <v>236663.92206452007</v>
      </c>
      <c r="F31" s="137">
        <f t="shared" si="1"/>
        <v>255597.0358296817</v>
      </c>
      <c r="G31" s="93">
        <f t="shared" si="1"/>
        <v>276044.79869605624</v>
      </c>
      <c r="H31" s="93">
        <f t="shared" si="2"/>
        <v>295367.93460478017</v>
      </c>
      <c r="I31" s="94">
        <f t="shared" si="3"/>
        <v>313090.01068106701</v>
      </c>
    </row>
    <row r="32" spans="1:9" s="3" customFormat="1" thickBot="1" x14ac:dyDescent="0.35">
      <c r="A32" s="95" t="s">
        <v>35</v>
      </c>
      <c r="B32" s="140" t="s">
        <v>36</v>
      </c>
      <c r="C32" s="63">
        <f>ROUND('[1]Tulumaks 2021-2024'!K29/2.5*1.88,-3)</f>
        <v>583000</v>
      </c>
      <c r="D32" s="144">
        <f>[1]Tasandusfond!AY29/[1]Tasandusfond!AY$83*[1]Tasandusfond!AY$84</f>
        <v>52592.951248529636</v>
      </c>
      <c r="E32" s="146">
        <f t="shared" si="0"/>
        <v>635592.9512485296</v>
      </c>
      <c r="F32" s="137">
        <f t="shared" si="1"/>
        <v>686440.38734841207</v>
      </c>
      <c r="G32" s="93">
        <f t="shared" si="1"/>
        <v>741355.61833628512</v>
      </c>
      <c r="H32" s="93">
        <f t="shared" si="2"/>
        <v>793250.51161982515</v>
      </c>
      <c r="I32" s="94">
        <f t="shared" si="3"/>
        <v>840845.54231701465</v>
      </c>
    </row>
    <row r="33" spans="1:9" s="3" customFormat="1" thickBot="1" x14ac:dyDescent="0.35">
      <c r="A33" s="95" t="s">
        <v>35</v>
      </c>
      <c r="B33" s="140" t="s">
        <v>37</v>
      </c>
      <c r="C33" s="63">
        <f>ROUND('[1]Tulumaks 2021-2024'!K30/2.5*1.88,-3)</f>
        <v>242000</v>
      </c>
      <c r="D33" s="144">
        <f>[1]Tasandusfond!AY30/[1]Tasandusfond!AY$83*[1]Tasandusfond!AY$84</f>
        <v>21795.74155860228</v>
      </c>
      <c r="E33" s="146">
        <f t="shared" si="0"/>
        <v>263795.74155860225</v>
      </c>
      <c r="F33" s="137">
        <f t="shared" si="1"/>
        <v>284899.40088329045</v>
      </c>
      <c r="G33" s="93">
        <f t="shared" si="1"/>
        <v>307691.35295395373</v>
      </c>
      <c r="H33" s="93">
        <f t="shared" si="2"/>
        <v>329229.7476607305</v>
      </c>
      <c r="I33" s="94">
        <f t="shared" si="3"/>
        <v>348983.53252037434</v>
      </c>
    </row>
    <row r="34" spans="1:9" s="3" customFormat="1" thickBot="1" x14ac:dyDescent="0.35">
      <c r="A34" s="95" t="s">
        <v>35</v>
      </c>
      <c r="B34" s="140" t="s">
        <v>38</v>
      </c>
      <c r="C34" s="63">
        <f>ROUND('[1]Tulumaks 2021-2024'!K31/2.5*1.88,-3)</f>
        <v>426000</v>
      </c>
      <c r="D34" s="144">
        <f>[1]Tasandusfond!AY31/[1]Tasandusfond!AY$83*[1]Tasandusfond!AY$84</f>
        <v>38224.883363226421</v>
      </c>
      <c r="E34" s="146">
        <f t="shared" si="0"/>
        <v>464224.88336322643</v>
      </c>
      <c r="F34" s="137">
        <f t="shared" si="1"/>
        <v>501362.8740322846</v>
      </c>
      <c r="G34" s="93">
        <f t="shared" si="1"/>
        <v>541471.90395486739</v>
      </c>
      <c r="H34" s="93">
        <f t="shared" si="2"/>
        <v>579374.93723170809</v>
      </c>
      <c r="I34" s="94">
        <f t="shared" si="3"/>
        <v>614137.43346561061</v>
      </c>
    </row>
    <row r="35" spans="1:9" s="3" customFormat="1" thickBot="1" x14ac:dyDescent="0.35">
      <c r="A35" s="95" t="s">
        <v>39</v>
      </c>
      <c r="B35" s="140" t="s">
        <v>40</v>
      </c>
      <c r="C35" s="63">
        <f>ROUND('[1]Tulumaks 2021-2024'!K32/2.5*1.88,-3)</f>
        <v>357000</v>
      </c>
      <c r="D35" s="144">
        <f>[1]Tasandusfond!AY32/[1]Tasandusfond!AY$83*[1]Tasandusfond!AY$84</f>
        <v>32272.331261455591</v>
      </c>
      <c r="E35" s="146">
        <f t="shared" si="0"/>
        <v>389272.33126145561</v>
      </c>
      <c r="F35" s="137">
        <f t="shared" si="1"/>
        <v>420414.11776237207</v>
      </c>
      <c r="G35" s="93">
        <f t="shared" si="1"/>
        <v>454047.24718336185</v>
      </c>
      <c r="H35" s="93">
        <f t="shared" si="2"/>
        <v>485830.55448619719</v>
      </c>
      <c r="I35" s="94">
        <f t="shared" si="3"/>
        <v>514980.38775536907</v>
      </c>
    </row>
    <row r="36" spans="1:9" s="3" customFormat="1" thickBot="1" x14ac:dyDescent="0.35">
      <c r="A36" s="95" t="s">
        <v>39</v>
      </c>
      <c r="B36" s="140" t="s">
        <v>41</v>
      </c>
      <c r="C36" s="63">
        <f>ROUND('[1]Tulumaks 2021-2024'!K33/2.5*1.88,-3)</f>
        <v>455000</v>
      </c>
      <c r="D36" s="144">
        <f>[1]Tasandusfond!AY33/[1]Tasandusfond!AY$83*[1]Tasandusfond!AY$84</f>
        <v>41114.787417669962</v>
      </c>
      <c r="E36" s="146">
        <f t="shared" si="0"/>
        <v>496114.78741766996</v>
      </c>
      <c r="F36" s="137">
        <f t="shared" si="1"/>
        <v>535803.97041108354</v>
      </c>
      <c r="G36" s="93">
        <f t="shared" si="1"/>
        <v>578668.28804397024</v>
      </c>
      <c r="H36" s="93">
        <f t="shared" si="2"/>
        <v>619175.06820704823</v>
      </c>
      <c r="I36" s="94">
        <f t="shared" si="3"/>
        <v>656325.57229947113</v>
      </c>
    </row>
    <row r="37" spans="1:9" s="3" customFormat="1" thickBot="1" x14ac:dyDescent="0.35">
      <c r="A37" s="95" t="s">
        <v>39</v>
      </c>
      <c r="B37" s="140" t="s">
        <v>42</v>
      </c>
      <c r="C37" s="63">
        <f>ROUND('[1]Tulumaks 2021-2024'!K34/2.5*1.88,-3)</f>
        <v>491000</v>
      </c>
      <c r="D37" s="144">
        <f>[1]Tasandusfond!AY34/[1]Tasandusfond!AY$83*[1]Tasandusfond!AY$84</f>
        <v>44345.392696818846</v>
      </c>
      <c r="E37" s="146">
        <f t="shared" si="0"/>
        <v>535345.3926968188</v>
      </c>
      <c r="F37" s="137">
        <f t="shared" si="1"/>
        <v>578173.0241125644</v>
      </c>
      <c r="G37" s="93">
        <f t="shared" si="1"/>
        <v>624426.86604156962</v>
      </c>
      <c r="H37" s="93">
        <f t="shared" si="2"/>
        <v>668136.74666447949</v>
      </c>
      <c r="I37" s="94">
        <f t="shared" si="3"/>
        <v>708224.95146434824</v>
      </c>
    </row>
    <row r="38" spans="1:9" s="3" customFormat="1" thickBot="1" x14ac:dyDescent="0.35">
      <c r="A38" s="95" t="s">
        <v>43</v>
      </c>
      <c r="B38" s="140" t="s">
        <v>44</v>
      </c>
      <c r="C38" s="63">
        <f>ROUND('[1]Tulumaks 2021-2024'!K35/2.5*1.88,-3)</f>
        <v>611000</v>
      </c>
      <c r="D38" s="144">
        <f>[1]Tasandusfond!AY35/[1]Tasandusfond!AY$83*[1]Tasandusfond!AY$84</f>
        <v>55145.962965416576</v>
      </c>
      <c r="E38" s="146">
        <f t="shared" si="0"/>
        <v>666145.96296541661</v>
      </c>
      <c r="F38" s="137">
        <f t="shared" si="1"/>
        <v>719437.64000264998</v>
      </c>
      <c r="G38" s="93">
        <f t="shared" si="1"/>
        <v>776992.65120286203</v>
      </c>
      <c r="H38" s="93">
        <f t="shared" si="2"/>
        <v>831382.13678706239</v>
      </c>
      <c r="I38" s="94">
        <f t="shared" si="3"/>
        <v>881265.06499428616</v>
      </c>
    </row>
    <row r="39" spans="1:9" s="3" customFormat="1" thickBot="1" x14ac:dyDescent="0.35">
      <c r="A39" s="95" t="s">
        <v>43</v>
      </c>
      <c r="B39" s="140" t="s">
        <v>45</v>
      </c>
      <c r="C39" s="63">
        <f>ROUND('[1]Tulumaks 2021-2024'!K36/2.5*1.88,-3)</f>
        <v>305000</v>
      </c>
      <c r="D39" s="144">
        <f>[1]Tasandusfond!AY36/[1]Tasandusfond!AY$83*[1]Tasandusfond!AY$84</f>
        <v>27535.288668300065</v>
      </c>
      <c r="E39" s="146">
        <f t="shared" si="0"/>
        <v>332535.28866830008</v>
      </c>
      <c r="F39" s="137">
        <f t="shared" si="1"/>
        <v>359138.1117617641</v>
      </c>
      <c r="G39" s="93">
        <f t="shared" si="1"/>
        <v>387869.16070270527</v>
      </c>
      <c r="H39" s="93">
        <f t="shared" si="2"/>
        <v>415020.00195189466</v>
      </c>
      <c r="I39" s="94">
        <f t="shared" si="3"/>
        <v>439921.20206900837</v>
      </c>
    </row>
    <row r="40" spans="1:9" s="3" customFormat="1" thickBot="1" x14ac:dyDescent="0.35">
      <c r="A40" s="95" t="s">
        <v>43</v>
      </c>
      <c r="B40" s="140" t="s">
        <v>46</v>
      </c>
      <c r="C40" s="63">
        <f>ROUND('[1]Tulumaks 2021-2024'!K37/2.5*1.88,-3)</f>
        <v>20000</v>
      </c>
      <c r="D40" s="144">
        <f>[1]Tasandusfond!AY37/[1]Tasandusfond!AY$83*[1]Tasandusfond!AY$84</f>
        <v>1808.8956335075065</v>
      </c>
      <c r="E40" s="146">
        <f t="shared" si="0"/>
        <v>21808.895633507505</v>
      </c>
      <c r="F40" s="137">
        <f t="shared" si="1"/>
        <v>23553.607284188107</v>
      </c>
      <c r="G40" s="93">
        <f t="shared" si="1"/>
        <v>25437.895866923158</v>
      </c>
      <c r="H40" s="93">
        <f t="shared" si="2"/>
        <v>27218.54857760778</v>
      </c>
      <c r="I40" s="94">
        <f t="shared" si="3"/>
        <v>28851.661492264247</v>
      </c>
    </row>
    <row r="41" spans="1:9" s="3" customFormat="1" thickBot="1" x14ac:dyDescent="0.35">
      <c r="A41" s="95" t="s">
        <v>47</v>
      </c>
      <c r="B41" s="140" t="s">
        <v>48</v>
      </c>
      <c r="C41" s="63">
        <f>ROUND('[1]Tulumaks 2021-2024'!K38/2.5*1.88,-3)</f>
        <v>190000</v>
      </c>
      <c r="D41" s="144">
        <f>[1]Tasandusfond!AY38/[1]Tasandusfond!AY$83*[1]Tasandusfond!AY$84</f>
        <v>17276.280317578752</v>
      </c>
      <c r="E41" s="146">
        <f t="shared" si="0"/>
        <v>207276.28031757876</v>
      </c>
      <c r="F41" s="137">
        <f t="shared" si="1"/>
        <v>223858.38274298506</v>
      </c>
      <c r="G41" s="93">
        <f t="shared" si="1"/>
        <v>241767.05336242387</v>
      </c>
      <c r="H41" s="93">
        <f t="shared" si="2"/>
        <v>258690.74709779356</v>
      </c>
      <c r="I41" s="94">
        <f t="shared" si="3"/>
        <v>274212.19192366116</v>
      </c>
    </row>
    <row r="42" spans="1:9" s="3" customFormat="1" thickBot="1" x14ac:dyDescent="0.35">
      <c r="A42" s="95" t="s">
        <v>47</v>
      </c>
      <c r="B42" s="140" t="s">
        <v>49</v>
      </c>
      <c r="C42" s="63">
        <f>ROUND('[1]Tulumaks 2021-2024'!K39/2.5*1.88,-3)</f>
        <v>178000</v>
      </c>
      <c r="D42" s="144">
        <f>[1]Tasandusfond!AY39/[1]Tasandusfond!AY$83*[1]Tasandusfond!AY$84</f>
        <v>16080.742764766695</v>
      </c>
      <c r="E42" s="146">
        <f t="shared" si="0"/>
        <v>194080.74276476671</v>
      </c>
      <c r="F42" s="137">
        <f t="shared" si="1"/>
        <v>209607.20218594806</v>
      </c>
      <c r="G42" s="93">
        <f t="shared" si="1"/>
        <v>226375.77836082393</v>
      </c>
      <c r="H42" s="93">
        <f t="shared" si="2"/>
        <v>242222.08284608161</v>
      </c>
      <c r="I42" s="94">
        <f t="shared" si="3"/>
        <v>256755.40781684653</v>
      </c>
    </row>
    <row r="43" spans="1:9" s="3" customFormat="1" thickBot="1" x14ac:dyDescent="0.35">
      <c r="A43" s="95" t="s">
        <v>47</v>
      </c>
      <c r="B43" s="140" t="s">
        <v>50</v>
      </c>
      <c r="C43" s="63">
        <f>ROUND('[1]Tulumaks 2021-2024'!K40/2.5*1.88,-3)</f>
        <v>210000</v>
      </c>
      <c r="D43" s="144">
        <f>[1]Tasandusfond!AY40/[1]Tasandusfond!AY$83*[1]Tasandusfond!AY$84</f>
        <v>18991.250945701751</v>
      </c>
      <c r="E43" s="146">
        <f t="shared" si="0"/>
        <v>228991.25094570176</v>
      </c>
      <c r="F43" s="137">
        <f t="shared" si="1"/>
        <v>247310.55102135791</v>
      </c>
      <c r="G43" s="93">
        <f t="shared" si="1"/>
        <v>267095.39510306658</v>
      </c>
      <c r="H43" s="93">
        <f t="shared" si="2"/>
        <v>285792.07276028127</v>
      </c>
      <c r="I43" s="94">
        <f t="shared" si="3"/>
        <v>302939.59712589817</v>
      </c>
    </row>
    <row r="44" spans="1:9" s="3" customFormat="1" thickBot="1" x14ac:dyDescent="0.35">
      <c r="A44" s="95" t="s">
        <v>47</v>
      </c>
      <c r="B44" s="140" t="s">
        <v>51</v>
      </c>
      <c r="C44" s="63">
        <f>ROUND('[1]Tulumaks 2021-2024'!K41/2.5*1.88,-3)</f>
        <v>596000</v>
      </c>
      <c r="D44" s="144">
        <f>[1]Tasandusfond!AY41/[1]Tasandusfond!AY$83*[1]Tasandusfond!AY$84</f>
        <v>53728.735538518034</v>
      </c>
      <c r="E44" s="146">
        <f t="shared" si="0"/>
        <v>649728.73553851806</v>
      </c>
      <c r="F44" s="137">
        <f t="shared" si="1"/>
        <v>701707.03438159951</v>
      </c>
      <c r="G44" s="93">
        <f t="shared" si="1"/>
        <v>757843.5971321275</v>
      </c>
      <c r="H44" s="93">
        <f t="shared" si="2"/>
        <v>810892.64893137652</v>
      </c>
      <c r="I44" s="94">
        <f t="shared" si="3"/>
        <v>859546.20786725916</v>
      </c>
    </row>
    <row r="45" spans="1:9" s="3" customFormat="1" thickBot="1" x14ac:dyDescent="0.35">
      <c r="A45" s="95" t="s">
        <v>47</v>
      </c>
      <c r="B45" s="140" t="s">
        <v>52</v>
      </c>
      <c r="C45" s="63">
        <f>ROUND('[1]Tulumaks 2021-2024'!K42/2.5*1.88,-3)</f>
        <v>469000</v>
      </c>
      <c r="D45" s="144">
        <f>[1]Tasandusfond!AY42/[1]Tasandusfond!AY$83*[1]Tasandusfond!AY$84</f>
        <v>42346.958625963765</v>
      </c>
      <c r="E45" s="146">
        <f t="shared" si="0"/>
        <v>511346.95862596377</v>
      </c>
      <c r="F45" s="137">
        <f t="shared" si="1"/>
        <v>552254.71531604091</v>
      </c>
      <c r="G45" s="93">
        <f t="shared" si="1"/>
        <v>596435.09254132421</v>
      </c>
      <c r="H45" s="93">
        <f t="shared" si="2"/>
        <v>638185.54901921691</v>
      </c>
      <c r="I45" s="94">
        <f t="shared" si="3"/>
        <v>676476.68196036993</v>
      </c>
    </row>
    <row r="46" spans="1:9" s="3" customFormat="1" thickBot="1" x14ac:dyDescent="0.35">
      <c r="A46" s="95" t="s">
        <v>47</v>
      </c>
      <c r="B46" s="140" t="s">
        <v>53</v>
      </c>
      <c r="C46" s="63">
        <f>ROUND('[1]Tulumaks 2021-2024'!K43/2.5*1.88,-3)</f>
        <v>259000</v>
      </c>
      <c r="D46" s="144">
        <f>[1]Tasandusfond!AY43/[1]Tasandusfond!AY$83*[1]Tasandusfond!AY$84</f>
        <v>23518.558713361737</v>
      </c>
      <c r="E46" s="146">
        <f t="shared" si="0"/>
        <v>282518.55871336174</v>
      </c>
      <c r="F46" s="137">
        <f t="shared" si="1"/>
        <v>305120.04341043072</v>
      </c>
      <c r="G46" s="93">
        <f t="shared" si="1"/>
        <v>329529.64688326517</v>
      </c>
      <c r="H46" s="93">
        <f t="shared" si="2"/>
        <v>352596.72216509376</v>
      </c>
      <c r="I46" s="94">
        <f t="shared" si="3"/>
        <v>373752.52549499943</v>
      </c>
    </row>
    <row r="47" spans="1:9" s="3" customFormat="1" thickBot="1" x14ac:dyDescent="0.35">
      <c r="A47" s="95" t="s">
        <v>47</v>
      </c>
      <c r="B47" s="140" t="s">
        <v>54</v>
      </c>
      <c r="C47" s="63">
        <f>ROUND('[1]Tulumaks 2021-2024'!K44/2.5*1.88,-3)</f>
        <v>268000</v>
      </c>
      <c r="D47" s="144">
        <f>[1]Tasandusfond!AY44/[1]Tasandusfond!AY$83*[1]Tasandusfond!AY$84</f>
        <v>24107.768371428847</v>
      </c>
      <c r="E47" s="146">
        <f t="shared" si="0"/>
        <v>292107.76837142883</v>
      </c>
      <c r="F47" s="137">
        <f t="shared" si="1"/>
        <v>315476.38984114316</v>
      </c>
      <c r="G47" s="93">
        <f t="shared" si="1"/>
        <v>340714.50102843461</v>
      </c>
      <c r="H47" s="93">
        <f t="shared" si="2"/>
        <v>364564.51610042504</v>
      </c>
      <c r="I47" s="94">
        <f t="shared" si="3"/>
        <v>386438.38706645055</v>
      </c>
    </row>
    <row r="48" spans="1:9" s="3" customFormat="1" thickBot="1" x14ac:dyDescent="0.35">
      <c r="A48" s="95" t="s">
        <v>47</v>
      </c>
      <c r="B48" s="140" t="s">
        <v>55</v>
      </c>
      <c r="C48" s="63">
        <f>ROUND('[1]Tulumaks 2021-2024'!K45/2.5*1.88,-3)</f>
        <v>239000</v>
      </c>
      <c r="D48" s="144">
        <f>[1]Tasandusfond!AY45/[1]Tasandusfond!AY$83*[1]Tasandusfond!AY$84</f>
        <v>21545.497005924681</v>
      </c>
      <c r="E48" s="146">
        <f t="shared" si="0"/>
        <v>260545.49700592467</v>
      </c>
      <c r="F48" s="137">
        <f t="shared" si="1"/>
        <v>281389.13676639867</v>
      </c>
      <c r="G48" s="93">
        <f t="shared" si="1"/>
        <v>303900.26770771056</v>
      </c>
      <c r="H48" s="93">
        <f t="shared" si="2"/>
        <v>325173.28644725034</v>
      </c>
      <c r="I48" s="94">
        <f t="shared" si="3"/>
        <v>344683.68363408541</v>
      </c>
    </row>
    <row r="49" spans="1:9" s="3" customFormat="1" thickBot="1" x14ac:dyDescent="0.35">
      <c r="A49" s="95" t="s">
        <v>56</v>
      </c>
      <c r="B49" s="140" t="s">
        <v>57</v>
      </c>
      <c r="C49" s="63">
        <f>ROUND('[1]Tulumaks 2021-2024'!K46/2.5*1.88,-3)</f>
        <v>194000</v>
      </c>
      <c r="D49" s="144">
        <f>[1]Tasandusfond!AY46/[1]Tasandusfond!AY$83*[1]Tasandusfond!AY$84</f>
        <v>17382.271654607794</v>
      </c>
      <c r="E49" s="146">
        <f t="shared" si="0"/>
        <v>211382.27165460779</v>
      </c>
      <c r="F49" s="137">
        <f t="shared" si="1"/>
        <v>228292.85338697644</v>
      </c>
      <c r="G49" s="93">
        <f t="shared" si="1"/>
        <v>246556.28165793457</v>
      </c>
      <c r="H49" s="93">
        <f t="shared" si="2"/>
        <v>263815.22137399</v>
      </c>
      <c r="I49" s="94">
        <f t="shared" si="3"/>
        <v>279644.13465642941</v>
      </c>
    </row>
    <row r="50" spans="1:9" s="3" customFormat="1" thickBot="1" x14ac:dyDescent="0.35">
      <c r="A50" s="95" t="s">
        <v>56</v>
      </c>
      <c r="B50" s="140" t="s">
        <v>58</v>
      </c>
      <c r="C50" s="63">
        <f>ROUND('[1]Tulumaks 2021-2024'!K47/2.5*1.88,-3)</f>
        <v>579000</v>
      </c>
      <c r="D50" s="144">
        <f>[1]Tasandusfond!AY47/[1]Tasandusfond!AY$83*[1]Tasandusfond!AY$84</f>
        <v>52346.497404464673</v>
      </c>
      <c r="E50" s="146">
        <f t="shared" si="0"/>
        <v>631346.49740446464</v>
      </c>
      <c r="F50" s="137">
        <f t="shared" si="1"/>
        <v>681854.21719682182</v>
      </c>
      <c r="G50" s="93">
        <f t="shared" si="1"/>
        <v>736402.55457256758</v>
      </c>
      <c r="H50" s="93">
        <f t="shared" si="2"/>
        <v>787950.73339264735</v>
      </c>
      <c r="I50" s="94">
        <f t="shared" si="3"/>
        <v>835227.77739620628</v>
      </c>
    </row>
    <row r="51" spans="1:9" s="3" customFormat="1" thickBot="1" x14ac:dyDescent="0.35">
      <c r="A51" s="95" t="s">
        <v>56</v>
      </c>
      <c r="B51" s="140" t="s">
        <v>59</v>
      </c>
      <c r="C51" s="63">
        <f>ROUND('[1]Tulumaks 2021-2024'!K48/2.5*1.88,-3)</f>
        <v>274000</v>
      </c>
      <c r="D51" s="144">
        <f>[1]Tasandusfond!AY48/[1]Tasandusfond!AY$83*[1]Tasandusfond!AY$84</f>
        <v>24764.4012521484</v>
      </c>
      <c r="E51" s="146">
        <f t="shared" si="0"/>
        <v>298764.40125214838</v>
      </c>
      <c r="F51" s="137">
        <f t="shared" si="1"/>
        <v>322665.55335232028</v>
      </c>
      <c r="G51" s="93">
        <f t="shared" si="1"/>
        <v>348478.79762050591</v>
      </c>
      <c r="H51" s="93">
        <f t="shared" si="2"/>
        <v>372872.31345394137</v>
      </c>
      <c r="I51" s="94">
        <f t="shared" si="3"/>
        <v>395244.65226117789</v>
      </c>
    </row>
    <row r="52" spans="1:9" s="3" customFormat="1" thickBot="1" x14ac:dyDescent="0.35">
      <c r="A52" s="95" t="s">
        <v>60</v>
      </c>
      <c r="B52" s="140" t="s">
        <v>61</v>
      </c>
      <c r="C52" s="63">
        <f>ROUND('[1]Tulumaks 2021-2024'!K49/2.5*1.88,-3)</f>
        <v>186000</v>
      </c>
      <c r="D52" s="144">
        <f>[1]Tasandusfond!AY49/[1]Tasandusfond!AY$83*[1]Tasandusfond!AY$84</f>
        <v>16892.446576182123</v>
      </c>
      <c r="E52" s="146">
        <f t="shared" si="0"/>
        <v>202892.44657618212</v>
      </c>
      <c r="F52" s="137">
        <f t="shared" si="1"/>
        <v>219123.84230227669</v>
      </c>
      <c r="G52" s="93">
        <f t="shared" si="1"/>
        <v>236653.74968645885</v>
      </c>
      <c r="H52" s="93">
        <f t="shared" si="2"/>
        <v>253219.51216451099</v>
      </c>
      <c r="I52" s="94">
        <f t="shared" si="3"/>
        <v>268412.68289438164</v>
      </c>
    </row>
    <row r="53" spans="1:9" s="3" customFormat="1" thickBot="1" x14ac:dyDescent="0.35">
      <c r="A53" s="95" t="s">
        <v>60</v>
      </c>
      <c r="B53" s="140" t="s">
        <v>62</v>
      </c>
      <c r="C53" s="63">
        <f>ROUND('[1]Tulumaks 2021-2024'!K50/2.5*1.88,-3)</f>
        <v>25000</v>
      </c>
      <c r="D53" s="144">
        <f>[1]Tasandusfond!AY50/[1]Tasandusfond!AY$83*[1]Tasandusfond!AY$84</f>
        <v>2207.7868706132499</v>
      </c>
      <c r="E53" s="146">
        <f t="shared" si="0"/>
        <v>27207.78687061325</v>
      </c>
      <c r="F53" s="137">
        <f t="shared" si="1"/>
        <v>29384.409820262314</v>
      </c>
      <c r="G53" s="93">
        <f t="shared" si="1"/>
        <v>31735.162605883299</v>
      </c>
      <c r="H53" s="93">
        <f t="shared" si="2"/>
        <v>33956.623988295134</v>
      </c>
      <c r="I53" s="94">
        <f t="shared" si="3"/>
        <v>35994.021427592845</v>
      </c>
    </row>
    <row r="54" spans="1:9" s="3" customFormat="1" thickBot="1" x14ac:dyDescent="0.35">
      <c r="A54" s="95" t="s">
        <v>60</v>
      </c>
      <c r="B54" s="140" t="s">
        <v>63</v>
      </c>
      <c r="C54" s="63">
        <f>ROUND('[1]Tulumaks 2021-2024'!K51/2.5*1.88,-3)</f>
        <v>239000</v>
      </c>
      <c r="D54" s="144">
        <f>[1]Tasandusfond!AY51/[1]Tasandusfond!AY$83*[1]Tasandusfond!AY$84</f>
        <v>21512.206680444178</v>
      </c>
      <c r="E54" s="146">
        <f t="shared" si="0"/>
        <v>260512.20668044419</v>
      </c>
      <c r="F54" s="137">
        <f t="shared" si="1"/>
        <v>281353.18321487971</v>
      </c>
      <c r="G54" s="93">
        <f t="shared" si="1"/>
        <v>303861.43787207012</v>
      </c>
      <c r="H54" s="93">
        <f t="shared" si="2"/>
        <v>325131.73852311505</v>
      </c>
      <c r="I54" s="94">
        <f t="shared" si="3"/>
        <v>344639.64283450198</v>
      </c>
    </row>
    <row r="55" spans="1:9" s="3" customFormat="1" ht="14.5" customHeight="1" thickBot="1" x14ac:dyDescent="0.35">
      <c r="A55" s="95" t="s">
        <v>60</v>
      </c>
      <c r="B55" s="140" t="s">
        <v>146</v>
      </c>
      <c r="C55" s="63">
        <f>ROUND('[1]Tulumaks 2021-2024'!K52/2.5*1.88,-3)</f>
        <v>362000</v>
      </c>
      <c r="D55" s="144">
        <f>[1]Tasandusfond!AY52/[1]Tasandusfond!AY$83*[1]Tasandusfond!AY$84</f>
        <v>32782.064947287858</v>
      </c>
      <c r="E55" s="146">
        <f t="shared" si="0"/>
        <v>394782.06494728784</v>
      </c>
      <c r="F55" s="137">
        <f t="shared" si="1"/>
        <v>426364.63014307088</v>
      </c>
      <c r="G55" s="93">
        <f t="shared" si="1"/>
        <v>460473.80055451661</v>
      </c>
      <c r="H55" s="93">
        <f t="shared" si="2"/>
        <v>492706.96659333282</v>
      </c>
      <c r="I55" s="94">
        <f t="shared" si="3"/>
        <v>522269.38458893279</v>
      </c>
    </row>
    <row r="56" spans="1:9" s="3" customFormat="1" thickBot="1" x14ac:dyDescent="0.35">
      <c r="A56" s="95" t="s">
        <v>60</v>
      </c>
      <c r="B56" s="140" t="s">
        <v>65</v>
      </c>
      <c r="C56" s="63">
        <f>ROUND('[1]Tulumaks 2021-2024'!K53/2.5*1.88,-3)</f>
        <v>2102000</v>
      </c>
      <c r="D56" s="144">
        <f>[1]Tasandusfond!AY53/[1]Tasandusfond!AY$83*[1]Tasandusfond!AY$84</f>
        <v>189591.22256324909</v>
      </c>
      <c r="E56" s="146">
        <f t="shared" si="0"/>
        <v>2291591.2225632491</v>
      </c>
      <c r="F56" s="137">
        <f t="shared" si="1"/>
        <v>2474918.5203683092</v>
      </c>
      <c r="G56" s="93">
        <f t="shared" si="1"/>
        <v>2672912.001997774</v>
      </c>
      <c r="H56" s="93">
        <f t="shared" si="2"/>
        <v>2860015.8421376185</v>
      </c>
      <c r="I56" s="94">
        <f t="shared" si="3"/>
        <v>3031616.7926658755</v>
      </c>
    </row>
    <row r="57" spans="1:9" s="3" customFormat="1" thickBot="1" x14ac:dyDescent="0.35">
      <c r="A57" s="95" t="s">
        <v>60</v>
      </c>
      <c r="B57" s="140" t="s">
        <v>66</v>
      </c>
      <c r="C57" s="63">
        <f>ROUND('[1]Tulumaks 2021-2024'!K54/2.5*1.88,-3)</f>
        <v>200000</v>
      </c>
      <c r="D57" s="144">
        <f>[1]Tasandusfond!AY54/[1]Tasandusfond!AY$83*[1]Tasandusfond!AY$84</f>
        <v>17987.657099392705</v>
      </c>
      <c r="E57" s="146">
        <f t="shared" si="0"/>
        <v>217987.6570993927</v>
      </c>
      <c r="F57" s="137">
        <f t="shared" si="1"/>
        <v>235426.66966734413</v>
      </c>
      <c r="G57" s="93">
        <f t="shared" si="1"/>
        <v>254260.80324073168</v>
      </c>
      <c r="H57" s="93">
        <f t="shared" si="2"/>
        <v>272059.05946758291</v>
      </c>
      <c r="I57" s="94">
        <f t="shared" si="3"/>
        <v>288382.60303563788</v>
      </c>
    </row>
    <row r="58" spans="1:9" s="3" customFormat="1" thickBot="1" x14ac:dyDescent="0.35">
      <c r="A58" s="95" t="s">
        <v>60</v>
      </c>
      <c r="B58" s="140" t="s">
        <v>67</v>
      </c>
      <c r="C58" s="63">
        <f>ROUND('[1]Tulumaks 2021-2024'!K55/2.5*1.88,-3)</f>
        <v>414000</v>
      </c>
      <c r="D58" s="144">
        <f>[1]Tasandusfond!AY55/[1]Tasandusfond!AY$83*[1]Tasandusfond!AY$84</f>
        <v>37472.587768048637</v>
      </c>
      <c r="E58" s="146">
        <f t="shared" si="0"/>
        <v>451472.58776804863</v>
      </c>
      <c r="F58" s="137">
        <f t="shared" si="1"/>
        <v>487590.39478949254</v>
      </c>
      <c r="G58" s="93">
        <f t="shared" si="1"/>
        <v>526597.62637265201</v>
      </c>
      <c r="H58" s="93">
        <f t="shared" si="2"/>
        <v>563459.46021873772</v>
      </c>
      <c r="I58" s="94">
        <f t="shared" si="3"/>
        <v>597267.02783186198</v>
      </c>
    </row>
    <row r="59" spans="1:9" s="3" customFormat="1" thickBot="1" x14ac:dyDescent="0.35">
      <c r="A59" s="95" t="s">
        <v>68</v>
      </c>
      <c r="B59" s="140" t="s">
        <v>69</v>
      </c>
      <c r="C59" s="63">
        <f>ROUND('[1]Tulumaks 2021-2024'!K56/2.5*1.88,-3)</f>
        <v>222000</v>
      </c>
      <c r="D59" s="144">
        <f>[1]Tasandusfond!AY56/[1]Tasandusfond!AY$83*[1]Tasandusfond!AY$84</f>
        <v>20086.484969681413</v>
      </c>
      <c r="E59" s="146">
        <f t="shared" si="0"/>
        <v>242086.48496968142</v>
      </c>
      <c r="F59" s="137">
        <f t="shared" si="1"/>
        <v>261453.40376725595</v>
      </c>
      <c r="G59" s="93">
        <f t="shared" si="1"/>
        <v>282369.67606863647</v>
      </c>
      <c r="H59" s="93">
        <f t="shared" si="2"/>
        <v>302135.55339344102</v>
      </c>
      <c r="I59" s="94">
        <f t="shared" si="3"/>
        <v>320263.68659704749</v>
      </c>
    </row>
    <row r="60" spans="1:9" s="3" customFormat="1" thickBot="1" x14ac:dyDescent="0.35">
      <c r="A60" s="95" t="s">
        <v>68</v>
      </c>
      <c r="B60" s="140" t="s">
        <v>70</v>
      </c>
      <c r="C60" s="63">
        <f>ROUND('[1]Tulumaks 2021-2024'!K57/2.5*1.88,-3)</f>
        <v>233000</v>
      </c>
      <c r="D60" s="144">
        <f>[1]Tasandusfond!AY57/[1]Tasandusfond!AY$83*[1]Tasandusfond!AY$84</f>
        <v>21095.713851136548</v>
      </c>
      <c r="E60" s="146">
        <f t="shared" si="0"/>
        <v>254095.71385113656</v>
      </c>
      <c r="F60" s="137">
        <f t="shared" si="1"/>
        <v>274423.3709592275</v>
      </c>
      <c r="G60" s="93">
        <f t="shared" si="1"/>
        <v>296377.24063596572</v>
      </c>
      <c r="H60" s="93">
        <f t="shared" si="2"/>
        <v>317123.64748048334</v>
      </c>
      <c r="I60" s="94">
        <f t="shared" si="3"/>
        <v>336151.06632931234</v>
      </c>
    </row>
    <row r="61" spans="1:9" s="3" customFormat="1" thickBot="1" x14ac:dyDescent="0.35">
      <c r="A61" s="95" t="s">
        <v>68</v>
      </c>
      <c r="B61" s="140" t="s">
        <v>71</v>
      </c>
      <c r="C61" s="63">
        <f>ROUND('[1]Tulumaks 2021-2024'!K58/2.5*1.88,-3)</f>
        <v>313000</v>
      </c>
      <c r="D61" s="144">
        <f>[1]Tasandusfond!AY58/[1]Tasandusfond!AY$83*[1]Tasandusfond!AY$84</f>
        <v>28366.05969046909</v>
      </c>
      <c r="E61" s="146">
        <f t="shared" si="0"/>
        <v>341366.05969046906</v>
      </c>
      <c r="F61" s="137">
        <f t="shared" si="1"/>
        <v>368675.34446570661</v>
      </c>
      <c r="G61" s="93">
        <f t="shared" si="1"/>
        <v>398169.37202296319</v>
      </c>
      <c r="H61" s="93">
        <f t="shared" si="2"/>
        <v>426041.22806457063</v>
      </c>
      <c r="I61" s="94">
        <f t="shared" si="3"/>
        <v>451603.70174844487</v>
      </c>
    </row>
    <row r="62" spans="1:9" s="3" customFormat="1" thickBot="1" x14ac:dyDescent="0.35">
      <c r="A62" s="95" t="s">
        <v>68</v>
      </c>
      <c r="B62" s="140" t="s">
        <v>72</v>
      </c>
      <c r="C62" s="63">
        <f>ROUND('[1]Tulumaks 2021-2024'!K59/2.5*1.88,-3)</f>
        <v>535000</v>
      </c>
      <c r="D62" s="144">
        <f>[1]Tasandusfond!AY59/[1]Tasandusfond!AY$83*[1]Tasandusfond!AY$84</f>
        <v>48406.952787974944</v>
      </c>
      <c r="E62" s="146">
        <f t="shared" si="0"/>
        <v>583406.95278797497</v>
      </c>
      <c r="F62" s="137">
        <f t="shared" si="1"/>
        <v>630079.50901101297</v>
      </c>
      <c r="G62" s="93">
        <f t="shared" si="1"/>
        <v>680485.869731894</v>
      </c>
      <c r="H62" s="93">
        <f t="shared" si="2"/>
        <v>728119.88061312668</v>
      </c>
      <c r="I62" s="94">
        <f t="shared" si="3"/>
        <v>771807.07344991434</v>
      </c>
    </row>
    <row r="63" spans="1:9" s="3" customFormat="1" thickBot="1" x14ac:dyDescent="0.35">
      <c r="A63" s="95" t="s">
        <v>73</v>
      </c>
      <c r="B63" s="140" t="s">
        <v>74</v>
      </c>
      <c r="C63" s="63">
        <f>ROUND('[1]Tulumaks 2021-2024'!K60/2.5*1.88,-3)</f>
        <v>92000</v>
      </c>
      <c r="D63" s="144">
        <f>[1]Tasandusfond!AY60/[1]Tasandusfond!AY$83*[1]Tasandusfond!AY$84</f>
        <v>8317.6510124513661</v>
      </c>
      <c r="E63" s="146">
        <f t="shared" si="0"/>
        <v>100317.65101245136</v>
      </c>
      <c r="F63" s="137">
        <f t="shared" si="1"/>
        <v>108343.06309344748</v>
      </c>
      <c r="G63" s="93">
        <f t="shared" si="1"/>
        <v>117010.50814092328</v>
      </c>
      <c r="H63" s="93">
        <f t="shared" si="2"/>
        <v>125201.24371078792</v>
      </c>
      <c r="I63" s="94">
        <f t="shared" si="3"/>
        <v>132713.31833343519</v>
      </c>
    </row>
    <row r="64" spans="1:9" s="3" customFormat="1" thickBot="1" x14ac:dyDescent="0.35">
      <c r="A64" s="96" t="s">
        <v>73</v>
      </c>
      <c r="B64" s="140" t="s">
        <v>75</v>
      </c>
      <c r="C64" s="63">
        <f>ROUND('[1]Tulumaks 2021-2024'!K61/2.5*1.88,-3)</f>
        <v>4000</v>
      </c>
      <c r="D64" s="144">
        <f>[1]Tasandusfond!AY61/[1]Tasandusfond!AY$83*[1]Tasandusfond!AY$84</f>
        <v>347.71544395684384</v>
      </c>
      <c r="E64" s="146">
        <f t="shared" si="0"/>
        <v>4347.715443956844</v>
      </c>
      <c r="F64" s="137">
        <f t="shared" si="1"/>
        <v>4695.5326794733919</v>
      </c>
      <c r="G64" s="93">
        <f t="shared" si="1"/>
        <v>5071.1752938312638</v>
      </c>
      <c r="H64" s="93">
        <f t="shared" si="2"/>
        <v>5426.1575643994529</v>
      </c>
      <c r="I64" s="94">
        <f t="shared" si="3"/>
        <v>5751.7270182634202</v>
      </c>
    </row>
    <row r="65" spans="1:9" s="3" customFormat="1" thickBot="1" x14ac:dyDescent="0.35">
      <c r="A65" s="96" t="s">
        <v>73</v>
      </c>
      <c r="B65" s="140" t="s">
        <v>76</v>
      </c>
      <c r="C65" s="63">
        <f>ROUND('[1]Tulumaks 2021-2024'!K62/2.5*1.88,-3)</f>
        <v>1266000</v>
      </c>
      <c r="D65" s="144">
        <f>[1]Tasandusfond!AY62/[1]Tasandusfond!AY$83*[1]Tasandusfond!AY$84</f>
        <v>114236.24448664188</v>
      </c>
      <c r="E65" s="146">
        <f t="shared" si="0"/>
        <v>1380236.2444866418</v>
      </c>
      <c r="F65" s="137">
        <f t="shared" si="1"/>
        <v>1490655.1440455732</v>
      </c>
      <c r="G65" s="93">
        <f t="shared" si="1"/>
        <v>1609907.5555692192</v>
      </c>
      <c r="H65" s="93">
        <f t="shared" si="2"/>
        <v>1722601.0844590645</v>
      </c>
      <c r="I65" s="94">
        <f t="shared" si="3"/>
        <v>1825957.1495266084</v>
      </c>
    </row>
    <row r="66" spans="1:9" s="3" customFormat="1" thickBot="1" x14ac:dyDescent="0.35">
      <c r="A66" s="95" t="s">
        <v>77</v>
      </c>
      <c r="B66" s="140" t="s">
        <v>78</v>
      </c>
      <c r="C66" s="63">
        <f>ROUND('[1]Tulumaks 2021-2024'!K63/2.5*1.88,-3)</f>
        <v>571000</v>
      </c>
      <c r="D66" s="144">
        <f>[1]Tasandusfond!AY63/[1]Tasandusfond!AY$83*[1]Tasandusfond!AY$84</f>
        <v>51495.782800215078</v>
      </c>
      <c r="E66" s="146">
        <f t="shared" si="0"/>
        <v>622495.78280021506</v>
      </c>
      <c r="F66" s="137">
        <f t="shared" si="1"/>
        <v>672295.44542423228</v>
      </c>
      <c r="G66" s="93">
        <f t="shared" si="1"/>
        <v>726079.08105817088</v>
      </c>
      <c r="H66" s="93">
        <f t="shared" si="2"/>
        <v>776904.61673224287</v>
      </c>
      <c r="I66" s="94">
        <f t="shared" si="3"/>
        <v>823518.89373617747</v>
      </c>
    </row>
    <row r="67" spans="1:9" s="3" customFormat="1" thickBot="1" x14ac:dyDescent="0.35">
      <c r="A67" s="95" t="s">
        <v>77</v>
      </c>
      <c r="B67" s="140" t="s">
        <v>79</v>
      </c>
      <c r="C67" s="63">
        <f>ROUND('[1]Tulumaks 2021-2024'!K64/2.5*1.88,-3)</f>
        <v>290000</v>
      </c>
      <c r="D67" s="144">
        <f>[1]Tasandusfond!AY64/[1]Tasandusfond!AY$83*[1]Tasandusfond!AY$84</f>
        <v>26410.357379072579</v>
      </c>
      <c r="E67" s="146">
        <f t="shared" si="0"/>
        <v>316410.35737907258</v>
      </c>
      <c r="F67" s="137">
        <f t="shared" si="1"/>
        <v>341723.18596939842</v>
      </c>
      <c r="G67" s="93">
        <f t="shared" si="1"/>
        <v>369061.04084695032</v>
      </c>
      <c r="H67" s="93">
        <f t="shared" si="2"/>
        <v>394895.31370623683</v>
      </c>
      <c r="I67" s="94">
        <f t="shared" si="3"/>
        <v>418589.03252861107</v>
      </c>
    </row>
    <row r="68" spans="1:9" s="3" customFormat="1" thickBot="1" x14ac:dyDescent="0.35">
      <c r="A68" s="95" t="s">
        <v>77</v>
      </c>
      <c r="B68" s="140" t="s">
        <v>80</v>
      </c>
      <c r="C68" s="63">
        <f>ROUND('[1]Tulumaks 2021-2024'!K65/2.5*1.88,-3)</f>
        <v>170000</v>
      </c>
      <c r="D68" s="144">
        <f>[1]Tasandusfond!AY65/[1]Tasandusfond!AY$83*[1]Tasandusfond!AY$84</f>
        <v>15373.82051917199</v>
      </c>
      <c r="E68" s="146">
        <f t="shared" si="0"/>
        <v>185373.820519172</v>
      </c>
      <c r="F68" s="137">
        <f t="shared" si="1"/>
        <v>200203.72616070579</v>
      </c>
      <c r="G68" s="93">
        <f t="shared" si="1"/>
        <v>216220.02425356227</v>
      </c>
      <c r="H68" s="93">
        <f t="shared" si="2"/>
        <v>231355.42595131163</v>
      </c>
      <c r="I68" s="94">
        <f t="shared" si="3"/>
        <v>245236.75150839033</v>
      </c>
    </row>
    <row r="69" spans="1:9" s="3" customFormat="1" thickBot="1" x14ac:dyDescent="0.35">
      <c r="A69" s="95" t="s">
        <v>77</v>
      </c>
      <c r="B69" s="140" t="s">
        <v>81</v>
      </c>
      <c r="C69" s="63">
        <f>ROUND('[1]Tulumaks 2021-2024'!K66/2.5*1.88,-3)</f>
        <v>120000</v>
      </c>
      <c r="D69" s="144">
        <f>[1]Tasandusfond!AY66/[1]Tasandusfond!AY$83*[1]Tasandusfond!AY$84</f>
        <v>10789.020953872961</v>
      </c>
      <c r="E69" s="146">
        <f t="shared" si="0"/>
        <v>130789.02095387297</v>
      </c>
      <c r="F69" s="137">
        <f t="shared" si="1"/>
        <v>141252.14263018282</v>
      </c>
      <c r="G69" s="93">
        <f t="shared" si="1"/>
        <v>152552.31404059744</v>
      </c>
      <c r="H69" s="93">
        <f t="shared" si="2"/>
        <v>163230.97602343926</v>
      </c>
      <c r="I69" s="94">
        <f t="shared" si="3"/>
        <v>173024.83458484564</v>
      </c>
    </row>
    <row r="70" spans="1:9" s="3" customFormat="1" thickBot="1" x14ac:dyDescent="0.35">
      <c r="A70" s="95" t="s">
        <v>77</v>
      </c>
      <c r="B70" s="140" t="s">
        <v>82</v>
      </c>
      <c r="C70" s="63">
        <f>ROUND('[1]Tulumaks 2021-2024'!K67/2.5*1.88,-3)</f>
        <v>141000</v>
      </c>
      <c r="D70" s="144">
        <f>[1]Tasandusfond!AY67/[1]Tasandusfond!AY$83*[1]Tasandusfond!AY$84</f>
        <v>12780.593249435962</v>
      </c>
      <c r="E70" s="146">
        <f t="shared" si="0"/>
        <v>153780.59324943597</v>
      </c>
      <c r="F70" s="137">
        <f t="shared" si="1"/>
        <v>166083.04070939086</v>
      </c>
      <c r="G70" s="93">
        <f t="shared" si="1"/>
        <v>179369.68396614213</v>
      </c>
      <c r="H70" s="93">
        <f t="shared" si="2"/>
        <v>191925.5618437721</v>
      </c>
      <c r="I70" s="94">
        <f t="shared" si="3"/>
        <v>203441.09555439843</v>
      </c>
    </row>
    <row r="71" spans="1:9" s="3" customFormat="1" thickBot="1" x14ac:dyDescent="0.35">
      <c r="A71" s="95" t="s">
        <v>77</v>
      </c>
      <c r="B71" s="140" t="s">
        <v>83</v>
      </c>
      <c r="C71" s="63">
        <f>ROUND('[1]Tulumaks 2021-2024'!K68/2.5*1.88,-3)</f>
        <v>222000</v>
      </c>
      <c r="D71" s="144">
        <f>[1]Tasandusfond!AY68/[1]Tasandusfond!AY$83*[1]Tasandusfond!AY$84</f>
        <v>19958.335967084826</v>
      </c>
      <c r="E71" s="146">
        <f t="shared" si="0"/>
        <v>241958.33596708483</v>
      </c>
      <c r="F71" s="137">
        <f t="shared" si="1"/>
        <v>261315.00284445164</v>
      </c>
      <c r="G71" s="93">
        <f t="shared" si="1"/>
        <v>282220.2030720078</v>
      </c>
      <c r="H71" s="93">
        <f t="shared" si="2"/>
        <v>301975.61728704837</v>
      </c>
      <c r="I71" s="94">
        <f t="shared" si="3"/>
        <v>320094.15432427131</v>
      </c>
    </row>
    <row r="72" spans="1:9" s="3" customFormat="1" thickBot="1" x14ac:dyDescent="0.35">
      <c r="A72" s="95" t="s">
        <v>77</v>
      </c>
      <c r="B72" s="140" t="s">
        <v>84</v>
      </c>
      <c r="C72" s="63">
        <f>ROUND('[1]Tulumaks 2021-2024'!K69/2.5*1.88,-3)</f>
        <v>314000</v>
      </c>
      <c r="D72" s="144">
        <f>[1]Tasandusfond!AY69/[1]Tasandusfond!AY$83*[1]Tasandusfond!AY$84</f>
        <v>28494.154848656526</v>
      </c>
      <c r="E72" s="146">
        <f t="shared" ref="E72:E85" si="4">C72+D72</f>
        <v>342494.1548486565</v>
      </c>
      <c r="F72" s="137">
        <f t="shared" ref="F72:G86" si="5">E72*1.08</f>
        <v>369893.68723654904</v>
      </c>
      <c r="G72" s="93">
        <f t="shared" si="5"/>
        <v>399485.18221547297</v>
      </c>
      <c r="H72" s="93">
        <f t="shared" ref="H72:H86" si="6">G72*1.07</f>
        <v>427449.14497055608</v>
      </c>
      <c r="I72" s="94">
        <f t="shared" ref="I72:I86" si="7">H72*1.06</f>
        <v>453096.09366878949</v>
      </c>
    </row>
    <row r="73" spans="1:9" s="3" customFormat="1" thickBot="1" x14ac:dyDescent="0.35">
      <c r="A73" s="95" t="s">
        <v>77</v>
      </c>
      <c r="B73" s="140" t="s">
        <v>85</v>
      </c>
      <c r="C73" s="63">
        <f>ROUND('[1]Tulumaks 2021-2024'!K70/2.5*1.88,-3)</f>
        <v>3342000</v>
      </c>
      <c r="D73" s="144">
        <f>[1]Tasandusfond!AY70/[1]Tasandusfond!AY$83*[1]Tasandusfond!AY$84</f>
        <v>301716.05617663747</v>
      </c>
      <c r="E73" s="146">
        <f t="shared" si="4"/>
        <v>3643716.0561766373</v>
      </c>
      <c r="F73" s="137">
        <f t="shared" si="5"/>
        <v>3935213.3406707686</v>
      </c>
      <c r="G73" s="93">
        <f t="shared" si="5"/>
        <v>4250030.4079244304</v>
      </c>
      <c r="H73" s="93">
        <f t="shared" si="6"/>
        <v>4547532.5364791406</v>
      </c>
      <c r="I73" s="94">
        <f t="shared" si="7"/>
        <v>4820384.4886678895</v>
      </c>
    </row>
    <row r="74" spans="1:9" s="3" customFormat="1" thickBot="1" x14ac:dyDescent="0.35">
      <c r="A74" s="95" t="s">
        <v>86</v>
      </c>
      <c r="B74" s="140" t="s">
        <v>87</v>
      </c>
      <c r="C74" s="63">
        <f>ROUND('[1]Tulumaks 2021-2024'!K71/2.5*1.88,-3)</f>
        <v>257000</v>
      </c>
      <c r="D74" s="144">
        <f>[1]Tasandusfond!AY71/[1]Tasandusfond!AY$83*[1]Tasandusfond!AY$84</f>
        <v>23224.322898242681</v>
      </c>
      <c r="E74" s="146">
        <f t="shared" si="4"/>
        <v>280224.32289824268</v>
      </c>
      <c r="F74" s="137">
        <f t="shared" si="5"/>
        <v>302642.26873010211</v>
      </c>
      <c r="G74" s="93">
        <f t="shared" si="5"/>
        <v>326853.65022851032</v>
      </c>
      <c r="H74" s="93">
        <f t="shared" si="6"/>
        <v>349733.40574450605</v>
      </c>
      <c r="I74" s="94">
        <f t="shared" si="7"/>
        <v>370717.41008917644</v>
      </c>
    </row>
    <row r="75" spans="1:9" s="3" customFormat="1" thickBot="1" x14ac:dyDescent="0.35">
      <c r="A75" s="95" t="s">
        <v>86</v>
      </c>
      <c r="B75" s="140" t="s">
        <v>88</v>
      </c>
      <c r="C75" s="63">
        <f>ROUND('[1]Tulumaks 2021-2024'!K72/2.5*1.88,-3)</f>
        <v>261000</v>
      </c>
      <c r="D75" s="144">
        <f>[1]Tasandusfond!AY72/[1]Tasandusfond!AY$83*[1]Tasandusfond!AY$84</f>
        <v>23628.930801107104</v>
      </c>
      <c r="E75" s="146">
        <f t="shared" si="4"/>
        <v>284628.93080110708</v>
      </c>
      <c r="F75" s="137">
        <f t="shared" si="5"/>
        <v>307399.24526519567</v>
      </c>
      <c r="G75" s="93">
        <f t="shared" si="5"/>
        <v>331991.18488641136</v>
      </c>
      <c r="H75" s="93">
        <f t="shared" si="6"/>
        <v>355230.56782846019</v>
      </c>
      <c r="I75" s="94">
        <f t="shared" si="7"/>
        <v>376544.40189816779</v>
      </c>
    </row>
    <row r="76" spans="1:9" s="3" customFormat="1" thickBot="1" x14ac:dyDescent="0.35">
      <c r="A76" s="95" t="s">
        <v>86</v>
      </c>
      <c r="B76" s="140" t="s">
        <v>89</v>
      </c>
      <c r="C76" s="63">
        <f>ROUND('[1]Tulumaks 2021-2024'!K73/2.5*1.88,-3)</f>
        <v>641000</v>
      </c>
      <c r="D76" s="144">
        <f>[1]Tasandusfond!AY73/[1]Tasandusfond!AY$83*[1]Tasandusfond!AY$84</f>
        <v>57827.445645436492</v>
      </c>
      <c r="E76" s="146">
        <f t="shared" si="4"/>
        <v>698827.44564543653</v>
      </c>
      <c r="F76" s="137">
        <f t="shared" si="5"/>
        <v>754733.64129707147</v>
      </c>
      <c r="G76" s="93">
        <f t="shared" si="5"/>
        <v>815112.33260083722</v>
      </c>
      <c r="H76" s="93">
        <f t="shared" si="6"/>
        <v>872170.19588289584</v>
      </c>
      <c r="I76" s="94">
        <f t="shared" si="7"/>
        <v>924500.40763586969</v>
      </c>
    </row>
    <row r="77" spans="1:9" s="3" customFormat="1" thickBot="1" x14ac:dyDescent="0.35">
      <c r="A77" s="95" t="s">
        <v>90</v>
      </c>
      <c r="B77" s="140" t="s">
        <v>91</v>
      </c>
      <c r="C77" s="63">
        <f>ROUND('[1]Tulumaks 2021-2024'!K74/2.5*1.88,-3)</f>
        <v>344000</v>
      </c>
      <c r="D77" s="144">
        <f>[1]Tasandusfond!AY74/[1]Tasandusfond!AY$83*[1]Tasandusfond!AY$84</f>
        <v>31026.647560219953</v>
      </c>
      <c r="E77" s="146">
        <f t="shared" si="4"/>
        <v>375026.64756021998</v>
      </c>
      <c r="F77" s="137">
        <f t="shared" si="5"/>
        <v>405028.77936503763</v>
      </c>
      <c r="G77" s="93">
        <f t="shared" si="5"/>
        <v>437431.08171424066</v>
      </c>
      <c r="H77" s="93">
        <f t="shared" si="6"/>
        <v>468051.25743423752</v>
      </c>
      <c r="I77" s="94">
        <f t="shared" si="7"/>
        <v>496134.3328802918</v>
      </c>
    </row>
    <row r="78" spans="1:9" s="3" customFormat="1" thickBot="1" x14ac:dyDescent="0.35">
      <c r="A78" s="95" t="s">
        <v>90</v>
      </c>
      <c r="B78" s="140" t="s">
        <v>92</v>
      </c>
      <c r="C78" s="63">
        <f>ROUND('[1]Tulumaks 2021-2024'!K75/2.5*1.88,-3)</f>
        <v>344000</v>
      </c>
      <c r="D78" s="144">
        <f>[1]Tasandusfond!AY75/[1]Tasandusfond!AY$83*[1]Tasandusfond!AY$84</f>
        <v>31019.585060711961</v>
      </c>
      <c r="E78" s="146">
        <f t="shared" si="4"/>
        <v>375019.58506071195</v>
      </c>
      <c r="F78" s="137">
        <f t="shared" si="5"/>
        <v>405021.15186556894</v>
      </c>
      <c r="G78" s="93">
        <f t="shared" si="5"/>
        <v>437422.84401481447</v>
      </c>
      <c r="H78" s="93">
        <f t="shared" si="6"/>
        <v>468042.44309585151</v>
      </c>
      <c r="I78" s="94">
        <f t="shared" si="7"/>
        <v>496124.98968160263</v>
      </c>
    </row>
    <row r="79" spans="1:9" s="3" customFormat="1" thickBot="1" x14ac:dyDescent="0.35">
      <c r="A79" s="95" t="s">
        <v>90</v>
      </c>
      <c r="B79" s="140" t="s">
        <v>93</v>
      </c>
      <c r="C79" s="63">
        <f>ROUND('[1]Tulumaks 2021-2024'!K76/2.5*1.88,-3)</f>
        <v>557000</v>
      </c>
      <c r="D79" s="144">
        <f>[1]Tasandusfond!AY76/[1]Tasandusfond!AY$83*[1]Tasandusfond!AY$84</f>
        <v>50364.844645290716</v>
      </c>
      <c r="E79" s="146">
        <f t="shared" si="4"/>
        <v>607364.84464529075</v>
      </c>
      <c r="F79" s="137">
        <f t="shared" si="5"/>
        <v>655954.032216914</v>
      </c>
      <c r="G79" s="93">
        <f t="shared" si="5"/>
        <v>708430.35479426722</v>
      </c>
      <c r="H79" s="93">
        <f t="shared" si="6"/>
        <v>758020.47962986596</v>
      </c>
      <c r="I79" s="94">
        <f t="shared" si="7"/>
        <v>803501.70840765792</v>
      </c>
    </row>
    <row r="80" spans="1:9" s="3" customFormat="1" thickBot="1" x14ac:dyDescent="0.35">
      <c r="A80" s="95" t="s">
        <v>90</v>
      </c>
      <c r="B80" s="140" t="s">
        <v>94</v>
      </c>
      <c r="C80" s="63">
        <f>ROUND('[1]Tulumaks 2021-2024'!K77/2.5*1.88,-3)</f>
        <v>750000</v>
      </c>
      <c r="D80" s="144">
        <f>[1]Tasandusfond!AY77/[1]Tasandusfond!AY$83*[1]Tasandusfond!AY$84</f>
        <v>67729.282844961679</v>
      </c>
      <c r="E80" s="146">
        <f t="shared" si="4"/>
        <v>817729.28284496162</v>
      </c>
      <c r="F80" s="137">
        <f t="shared" si="5"/>
        <v>883147.62547255866</v>
      </c>
      <c r="G80" s="93">
        <f t="shared" si="5"/>
        <v>953799.43551036343</v>
      </c>
      <c r="H80" s="93">
        <f t="shared" si="6"/>
        <v>1020565.395996089</v>
      </c>
      <c r="I80" s="94">
        <f t="shared" si="7"/>
        <v>1081799.3197558543</v>
      </c>
    </row>
    <row r="81" spans="1:9" s="3" customFormat="1" thickBot="1" x14ac:dyDescent="0.35">
      <c r="A81" s="95" t="s">
        <v>95</v>
      </c>
      <c r="B81" s="140" t="s">
        <v>96</v>
      </c>
      <c r="C81" s="63">
        <f>ROUND('[1]Tulumaks 2021-2024'!K78/2.5*1.88,-3)</f>
        <v>179000</v>
      </c>
      <c r="D81" s="144">
        <f>[1]Tasandusfond!AY78/[1]Tasandusfond!AY$83*[1]Tasandusfond!AY$84</f>
        <v>16197.733809563615</v>
      </c>
      <c r="E81" s="146">
        <f t="shared" si="4"/>
        <v>195197.73380956362</v>
      </c>
      <c r="F81" s="137">
        <f t="shared" si="5"/>
        <v>210813.55251432874</v>
      </c>
      <c r="G81" s="93">
        <f t="shared" si="5"/>
        <v>227678.63671547506</v>
      </c>
      <c r="H81" s="93">
        <f t="shared" si="6"/>
        <v>243616.14128555832</v>
      </c>
      <c r="I81" s="94">
        <f t="shared" si="7"/>
        <v>258233.10976269183</v>
      </c>
    </row>
    <row r="82" spans="1:9" s="3" customFormat="1" thickBot="1" x14ac:dyDescent="0.35">
      <c r="A82" s="95" t="s">
        <v>95</v>
      </c>
      <c r="B82" s="140" t="s">
        <v>97</v>
      </c>
      <c r="C82" s="63">
        <f>ROUND('[1]Tulumaks 2021-2024'!K79/2.5*1.88,-3)</f>
        <v>235000</v>
      </c>
      <c r="D82" s="144">
        <f>[1]Tasandusfond!AY79/[1]Tasandusfond!AY$83*[1]Tasandusfond!AY$84</f>
        <v>21249.770481726919</v>
      </c>
      <c r="E82" s="146">
        <f t="shared" si="4"/>
        <v>256249.77048172691</v>
      </c>
      <c r="F82" s="137">
        <f t="shared" si="5"/>
        <v>276749.7521202651</v>
      </c>
      <c r="G82" s="93">
        <f t="shared" si="5"/>
        <v>298889.73228988633</v>
      </c>
      <c r="H82" s="93">
        <f t="shared" si="6"/>
        <v>319812.01355017838</v>
      </c>
      <c r="I82" s="94">
        <f t="shared" si="7"/>
        <v>339000.73436318908</v>
      </c>
    </row>
    <row r="83" spans="1:9" s="3" customFormat="1" thickBot="1" x14ac:dyDescent="0.35">
      <c r="A83" s="95" t="s">
        <v>95</v>
      </c>
      <c r="B83" s="140" t="s">
        <v>98</v>
      </c>
      <c r="C83" s="63">
        <f>ROUND('[1]Tulumaks 2021-2024'!K80/2.5*1.88,-3)</f>
        <v>122000</v>
      </c>
      <c r="D83" s="144">
        <f>[1]Tasandusfond!AY80/[1]Tasandusfond!AY$83*[1]Tasandusfond!AY$84</f>
        <v>10965.052116831825</v>
      </c>
      <c r="E83" s="146">
        <f t="shared" si="4"/>
        <v>132965.05211683182</v>
      </c>
      <c r="F83" s="137">
        <f t="shared" si="5"/>
        <v>143602.25628617837</v>
      </c>
      <c r="G83" s="93">
        <f t="shared" si="5"/>
        <v>155090.43678907264</v>
      </c>
      <c r="H83" s="93">
        <f t="shared" si="6"/>
        <v>165946.76736430774</v>
      </c>
      <c r="I83" s="94">
        <f t="shared" si="7"/>
        <v>175903.57340616622</v>
      </c>
    </row>
    <row r="84" spans="1:9" s="3" customFormat="1" thickBot="1" x14ac:dyDescent="0.35">
      <c r="A84" s="95" t="s">
        <v>95</v>
      </c>
      <c r="B84" s="140" t="s">
        <v>99</v>
      </c>
      <c r="C84" s="63">
        <f>ROUND('[1]Tulumaks 2021-2024'!K81/2.5*1.88,-3)</f>
        <v>405000</v>
      </c>
      <c r="D84" s="144">
        <f>[1]Tasandusfond!AY81/[1]Tasandusfond!AY$83*[1]Tasandusfond!AY$84</f>
        <v>36748.198852314526</v>
      </c>
      <c r="E84" s="146">
        <f>C84+D84</f>
        <v>441748.1988523145</v>
      </c>
      <c r="F84" s="137">
        <f>E84*1.08</f>
        <v>477088.05476049968</v>
      </c>
      <c r="G84" s="93">
        <f>F84*1.08</f>
        <v>515255.09914133971</v>
      </c>
      <c r="H84" s="93">
        <f>G84*1.07</f>
        <v>551322.95608123357</v>
      </c>
      <c r="I84" s="94">
        <f>H84*1.06</f>
        <v>584402.33344610757</v>
      </c>
    </row>
    <row r="85" spans="1:9" s="3" customFormat="1" thickBot="1" x14ac:dyDescent="0.35">
      <c r="A85" s="134" t="s">
        <v>95</v>
      </c>
      <c r="B85" s="141" t="s">
        <v>100</v>
      </c>
      <c r="C85" s="64">
        <f>ROUND('[1]Tulumaks 2021-2024'!K82/2.5*1.88,-3)</f>
        <v>515000</v>
      </c>
      <c r="D85" s="145">
        <f>[1]Tasandusfond!AY82/[1]Tasandusfond!AY$83*[1]Tasandusfond!AY$84</f>
        <v>46309.342879603792</v>
      </c>
      <c r="E85" s="158">
        <f t="shared" si="4"/>
        <v>561309.34287960385</v>
      </c>
      <c r="F85" s="156">
        <f t="shared" si="5"/>
        <v>606214.09030997218</v>
      </c>
      <c r="G85" s="159">
        <f t="shared" si="5"/>
        <v>654711.21753477002</v>
      </c>
      <c r="H85" s="159">
        <f t="shared" si="6"/>
        <v>700541.00276220392</v>
      </c>
      <c r="I85" s="160">
        <f t="shared" si="7"/>
        <v>742573.46292793623</v>
      </c>
    </row>
    <row r="86" spans="1:9" s="3" customFormat="1" thickBot="1" x14ac:dyDescent="0.35">
      <c r="A86" s="147"/>
      <c r="B86" s="142" t="s">
        <v>145</v>
      </c>
      <c r="C86" s="161">
        <f>SUM(C7:C85)</f>
        <v>50579000</v>
      </c>
      <c r="D86" s="148">
        <f>SUM(D7:D85)</f>
        <v>4570000</v>
      </c>
      <c r="E86" s="23">
        <f>SUM(E7:E85)</f>
        <v>55149000.000000007</v>
      </c>
      <c r="F86" s="135">
        <f t="shared" si="5"/>
        <v>59560920.000000015</v>
      </c>
      <c r="G86" s="135">
        <f t="shared" si="5"/>
        <v>64325793.600000024</v>
      </c>
      <c r="H86" s="135">
        <f t="shared" si="6"/>
        <v>68828599.152000025</v>
      </c>
      <c r="I86" s="136">
        <f t="shared" si="7"/>
        <v>72958315.101120025</v>
      </c>
    </row>
    <row r="87" spans="1:9" s="3" customFormat="1" ht="14" x14ac:dyDescent="0.3">
      <c r="A87" s="154"/>
      <c r="B87" s="155" t="s">
        <v>145</v>
      </c>
      <c r="C87" s="31" t="s">
        <v>152</v>
      </c>
      <c r="D87" s="31"/>
      <c r="E87" s="27"/>
      <c r="F87" s="31">
        <f>F86-E86</f>
        <v>4411920.0000000075</v>
      </c>
      <c r="G87" s="4">
        <f>G86-F86</f>
        <v>4764873.6000000089</v>
      </c>
      <c r="H87" s="4">
        <f>H86-G86</f>
        <v>4502805.5520000011</v>
      </c>
      <c r="I87" s="4">
        <f>I86-H86</f>
        <v>4129715.94912</v>
      </c>
    </row>
    <row r="88" spans="1:9" s="3" customFormat="1" ht="14" x14ac:dyDescent="0.3">
      <c r="A88" s="97"/>
      <c r="B88" s="97"/>
      <c r="C88" s="84"/>
      <c r="D88" s="84"/>
      <c r="E88" s="84"/>
      <c r="F88" s="84"/>
      <c r="G88" s="84"/>
      <c r="H88" s="84"/>
      <c r="I88" s="84"/>
    </row>
    <row r="89" spans="1:9" s="3" customFormat="1" ht="14" x14ac:dyDescent="0.3">
      <c r="A89" s="84"/>
      <c r="B89" s="86" t="s">
        <v>198</v>
      </c>
      <c r="C89" s="98"/>
      <c r="D89" s="98"/>
      <c r="E89" s="149"/>
      <c r="F89" s="98"/>
      <c r="G89" s="98"/>
      <c r="H89" s="98"/>
      <c r="I89" s="98"/>
    </row>
    <row r="90" spans="1:9" s="3" customFormat="1" ht="14" x14ac:dyDescent="0.3">
      <c r="A90" s="84"/>
      <c r="B90" s="84"/>
      <c r="C90" s="84"/>
      <c r="D90" s="84"/>
      <c r="E90" s="84"/>
      <c r="F90" s="84"/>
      <c r="G90" s="84"/>
      <c r="H90" s="84"/>
      <c r="I90" s="84"/>
    </row>
    <row r="91" spans="1:9" s="3" customFormat="1" ht="14" x14ac:dyDescent="0.3">
      <c r="A91" s="84"/>
      <c r="B91" s="84" t="s">
        <v>469</v>
      </c>
      <c r="C91" s="84"/>
      <c r="D91" s="84"/>
      <c r="E91" s="84"/>
      <c r="F91" s="84"/>
      <c r="G91" s="84"/>
      <c r="H91" s="84"/>
      <c r="I91" s="84"/>
    </row>
    <row r="92" spans="1:9" s="3" customFormat="1" ht="14" x14ac:dyDescent="0.3">
      <c r="A92" s="84"/>
      <c r="B92" s="84" t="s">
        <v>139</v>
      </c>
      <c r="C92" s="84"/>
      <c r="D92" s="84"/>
      <c r="E92" s="84"/>
      <c r="F92" s="84"/>
      <c r="G92" s="84"/>
      <c r="H92" s="84"/>
      <c r="I92" s="84"/>
    </row>
    <row r="93" spans="1:9" s="3" customFormat="1" ht="14" x14ac:dyDescent="0.3">
      <c r="A93" s="84"/>
      <c r="B93" s="84" t="s">
        <v>470</v>
      </c>
      <c r="C93" s="84"/>
      <c r="D93" s="84"/>
      <c r="E93" s="84"/>
      <c r="F93" s="84"/>
      <c r="G93" s="84"/>
      <c r="H93" s="84"/>
      <c r="I93" s="84"/>
    </row>
    <row r="94" spans="1:9" s="3" customFormat="1" ht="14" x14ac:dyDescent="0.3">
      <c r="A94" s="84"/>
      <c r="B94" s="97" t="s">
        <v>138</v>
      </c>
      <c r="C94" s="97"/>
      <c r="D94" s="97"/>
      <c r="E94" s="97"/>
      <c r="F94" s="97"/>
      <c r="G94" s="97"/>
      <c r="H94" s="99"/>
      <c r="I94" s="86"/>
    </row>
    <row r="95" spans="1:9" s="3" customFormat="1" ht="14" x14ac:dyDescent="0.3">
      <c r="A95" s="84"/>
      <c r="B95" s="97" t="s">
        <v>471</v>
      </c>
      <c r="C95" s="97"/>
      <c r="D95" s="97"/>
      <c r="E95" s="97"/>
      <c r="F95" s="97"/>
      <c r="G95" s="97"/>
      <c r="H95" s="99"/>
      <c r="I95" s="86"/>
    </row>
    <row r="96" spans="1:9" s="3" customFormat="1" ht="14" x14ac:dyDescent="0.3">
      <c r="A96" s="84"/>
      <c r="B96" s="97" t="s">
        <v>472</v>
      </c>
      <c r="C96" s="97"/>
      <c r="D96" s="97"/>
      <c r="E96" s="97"/>
      <c r="F96" s="97"/>
      <c r="G96" s="97"/>
      <c r="H96" s="99"/>
      <c r="I96" s="86"/>
    </row>
    <row r="97" spans="1:9" s="3" customFormat="1" ht="14" x14ac:dyDescent="0.3">
      <c r="A97" s="84"/>
      <c r="B97" s="84" t="s">
        <v>473</v>
      </c>
      <c r="C97" s="84"/>
      <c r="D97" s="84"/>
      <c r="E97" s="84"/>
      <c r="F97" s="84"/>
      <c r="G97" s="84"/>
      <c r="H97" s="84"/>
      <c r="I97" s="84"/>
    </row>
    <row r="98" spans="1:9" s="3" customFormat="1" ht="14" x14ac:dyDescent="0.3">
      <c r="A98" s="84"/>
      <c r="B98" s="84" t="s">
        <v>477</v>
      </c>
      <c r="C98" s="84"/>
      <c r="D98" s="84"/>
      <c r="E98" s="84"/>
      <c r="F98" s="84"/>
      <c r="G98" s="84"/>
      <c r="H98" s="84"/>
      <c r="I98" s="84"/>
    </row>
    <row r="99" spans="1:9" s="3" customFormat="1" ht="14" customHeight="1" x14ac:dyDescent="0.3">
      <c r="A99" s="84"/>
      <c r="B99" s="84" t="s">
        <v>140</v>
      </c>
      <c r="C99" s="84"/>
      <c r="D99" s="84"/>
      <c r="E99" s="84"/>
      <c r="F99" s="84"/>
      <c r="G99" s="84"/>
      <c r="H99" s="84"/>
      <c r="I99" s="84"/>
    </row>
    <row r="100" spans="1:9" x14ac:dyDescent="0.35">
      <c r="A100" s="84"/>
      <c r="B100" s="84" t="s">
        <v>141</v>
      </c>
      <c r="C100" s="84"/>
      <c r="D100" s="84"/>
      <c r="E100" s="84"/>
      <c r="F100" s="84"/>
      <c r="G100" s="84"/>
      <c r="H100" s="84"/>
      <c r="I100" s="84"/>
    </row>
    <row r="101" spans="1:9" x14ac:dyDescent="0.35">
      <c r="A101" s="84"/>
      <c r="B101" s="84" t="s">
        <v>475</v>
      </c>
      <c r="C101" s="84"/>
      <c r="D101" s="84"/>
      <c r="E101" s="84"/>
      <c r="F101" s="84"/>
      <c r="G101" s="84"/>
      <c r="H101" s="84"/>
      <c r="I101" s="84"/>
    </row>
    <row r="102" spans="1:9" s="3" customFormat="1" ht="14" x14ac:dyDescent="0.3">
      <c r="A102" s="84"/>
      <c r="B102" s="97" t="s">
        <v>476</v>
      </c>
      <c r="C102" s="97"/>
      <c r="D102" s="97"/>
      <c r="E102" s="97"/>
      <c r="F102" s="97"/>
      <c r="G102" s="97"/>
      <c r="H102" s="99"/>
      <c r="I102" s="86"/>
    </row>
    <row r="103" spans="1:9" s="3" customFormat="1" thickBot="1" x14ac:dyDescent="0.35">
      <c r="A103" s="84"/>
      <c r="B103" s="84"/>
      <c r="C103" s="84"/>
      <c r="D103" s="84"/>
      <c r="E103" s="84"/>
      <c r="F103" s="84"/>
      <c r="G103" s="84"/>
      <c r="H103" s="86"/>
      <c r="I103" s="86"/>
    </row>
    <row r="104" spans="1:9" s="3" customFormat="1" thickBot="1" x14ac:dyDescent="0.35">
      <c r="A104" s="84"/>
      <c r="B104" s="100"/>
      <c r="C104" s="101">
        <v>2023</v>
      </c>
      <c r="D104" s="101"/>
      <c r="E104" s="101">
        <v>2024</v>
      </c>
      <c r="F104" s="101">
        <v>2025</v>
      </c>
      <c r="G104" s="101">
        <v>2026</v>
      </c>
      <c r="H104" s="101">
        <v>2027</v>
      </c>
      <c r="I104" s="102">
        <v>2028</v>
      </c>
    </row>
    <row r="105" spans="1:9" s="3" customFormat="1" ht="14" x14ac:dyDescent="0.3">
      <c r="A105" s="84"/>
      <c r="B105" s="150" t="s">
        <v>104</v>
      </c>
      <c r="C105" s="153"/>
      <c r="D105" s="103"/>
      <c r="E105" s="103">
        <v>2914986451</v>
      </c>
      <c r="F105" s="103">
        <v>3143714762</v>
      </c>
      <c r="G105" s="103">
        <v>3381050187</v>
      </c>
      <c r="H105" s="103">
        <v>3614411803</v>
      </c>
      <c r="I105" s="104">
        <v>3844200844</v>
      </c>
    </row>
    <row r="106" spans="1:9" s="3" customFormat="1" ht="14" x14ac:dyDescent="0.3">
      <c r="A106" s="84"/>
      <c r="B106" s="151" t="s">
        <v>105</v>
      </c>
      <c r="C106" s="41"/>
      <c r="D106" s="105"/>
      <c r="E106" s="105">
        <v>66.8</v>
      </c>
      <c r="F106" s="105">
        <v>78.599999999999994</v>
      </c>
      <c r="G106" s="105">
        <v>84.5</v>
      </c>
      <c r="H106" s="105">
        <v>90.4</v>
      </c>
      <c r="I106" s="106">
        <v>96.1</v>
      </c>
    </row>
    <row r="107" spans="1:9" s="3" customFormat="1" ht="14" x14ac:dyDescent="0.3">
      <c r="A107" s="84"/>
      <c r="B107" s="151" t="s">
        <v>106</v>
      </c>
      <c r="C107" s="41"/>
      <c r="D107" s="105"/>
      <c r="E107" s="105">
        <v>54.8</v>
      </c>
      <c r="F107" s="105">
        <v>59.1</v>
      </c>
      <c r="G107" s="105">
        <v>63.6</v>
      </c>
      <c r="H107" s="105">
        <v>68</v>
      </c>
      <c r="I107" s="106">
        <v>72.3</v>
      </c>
    </row>
    <row r="108" spans="1:9" s="3" customFormat="1" thickBot="1" x14ac:dyDescent="0.35">
      <c r="A108" s="84"/>
      <c r="B108" s="152" t="s">
        <v>107</v>
      </c>
      <c r="C108" s="107"/>
      <c r="D108" s="107"/>
      <c r="E108" s="107"/>
      <c r="F108" s="107">
        <v>4.3</v>
      </c>
      <c r="G108" s="107">
        <v>4.5</v>
      </c>
      <c r="H108" s="107">
        <v>4.4000000000000004</v>
      </c>
      <c r="I108" s="108">
        <v>4.3</v>
      </c>
    </row>
    <row r="109" spans="1:9" s="3" customFormat="1" ht="14" x14ac:dyDescent="0.3">
      <c r="A109" s="84"/>
      <c r="B109" s="109"/>
      <c r="C109" s="110"/>
      <c r="D109" s="110"/>
      <c r="E109" s="110"/>
      <c r="F109" s="110"/>
      <c r="G109" s="110"/>
      <c r="H109" s="110"/>
      <c r="I109" s="110"/>
    </row>
    <row r="110" spans="1:9" s="3" customFormat="1" ht="14" x14ac:dyDescent="0.3">
      <c r="A110" s="84"/>
      <c r="B110" s="111" t="s">
        <v>108</v>
      </c>
      <c r="C110" s="112">
        <v>0.14000000000000001</v>
      </c>
      <c r="D110" s="112"/>
      <c r="E110" s="112"/>
      <c r="F110" s="112">
        <v>0.08</v>
      </c>
      <c r="G110" s="112">
        <v>0.08</v>
      </c>
      <c r="H110" s="112">
        <v>7.0000000000000007E-2</v>
      </c>
      <c r="I110" s="112">
        <v>0.06</v>
      </c>
    </row>
    <row r="111" spans="1:9" s="3" customFormat="1" ht="14" x14ac:dyDescent="0.3">
      <c r="A111" s="84"/>
      <c r="B111" s="84"/>
      <c r="C111" s="84"/>
      <c r="D111" s="84"/>
      <c r="E111" s="84"/>
      <c r="F111" s="84"/>
      <c r="G111" s="84"/>
      <c r="H111" s="84"/>
      <c r="I111" s="84"/>
    </row>
    <row r="112" spans="1:9" ht="14" customHeight="1" x14ac:dyDescent="0.35">
      <c r="A112" s="84"/>
      <c r="B112" s="113" t="s">
        <v>479</v>
      </c>
      <c r="C112" s="84"/>
      <c r="D112" s="84"/>
      <c r="E112" s="84"/>
      <c r="F112" s="84"/>
      <c r="G112" s="84"/>
      <c r="H112" s="84"/>
      <c r="I112" s="84"/>
    </row>
    <row r="113" spans="1:9" ht="14" customHeight="1" x14ac:dyDescent="0.35">
      <c r="A113" s="84"/>
      <c r="B113" s="113" t="s">
        <v>478</v>
      </c>
      <c r="C113" s="84"/>
      <c r="D113" s="84"/>
      <c r="E113" s="84"/>
      <c r="F113" s="84"/>
      <c r="G113" s="84"/>
      <c r="H113" s="84"/>
      <c r="I113" s="84"/>
    </row>
    <row r="114" spans="1:9" x14ac:dyDescent="0.35">
      <c r="A114" s="84"/>
      <c r="B114" s="84"/>
      <c r="C114" s="84"/>
      <c r="D114" s="84"/>
      <c r="E114" s="84"/>
      <c r="F114" s="84"/>
      <c r="G114" s="84"/>
      <c r="H114" s="84"/>
      <c r="I114" s="84"/>
    </row>
    <row r="115" spans="1:9" x14ac:dyDescent="0.35">
      <c r="A115" s="84"/>
      <c r="B115" s="114" t="s">
        <v>136</v>
      </c>
      <c r="C115" s="84"/>
      <c r="D115" s="84"/>
      <c r="E115" s="84"/>
      <c r="F115" s="84"/>
      <c r="G115" s="84"/>
      <c r="H115" s="84"/>
      <c r="I115" s="84"/>
    </row>
    <row r="116" spans="1:9" x14ac:dyDescent="0.35">
      <c r="A116" s="84"/>
      <c r="B116" s="114" t="s">
        <v>137</v>
      </c>
      <c r="C116" s="84"/>
      <c r="D116" s="84"/>
      <c r="E116" s="84"/>
      <c r="F116" s="84"/>
      <c r="G116" s="84"/>
      <c r="H116" s="84"/>
      <c r="I116" s="84"/>
    </row>
    <row r="117" spans="1:9" x14ac:dyDescent="0.35">
      <c r="A117" s="84"/>
      <c r="B117" s="115" t="s">
        <v>111</v>
      </c>
      <c r="C117" s="84"/>
      <c r="D117" s="84"/>
      <c r="E117" s="84"/>
      <c r="F117" s="84"/>
      <c r="G117" s="84"/>
      <c r="H117" s="84"/>
      <c r="I117" s="84"/>
    </row>
    <row r="118" spans="1:9" x14ac:dyDescent="0.35">
      <c r="A118" s="84"/>
      <c r="B118" s="115" t="s">
        <v>117</v>
      </c>
      <c r="C118" s="84"/>
      <c r="D118" s="84"/>
      <c r="E118" s="84"/>
      <c r="F118" s="84"/>
      <c r="G118" s="84"/>
      <c r="H118" s="84"/>
      <c r="I118" s="84"/>
    </row>
    <row r="119" spans="1:9" x14ac:dyDescent="0.35">
      <c r="A119" s="84"/>
      <c r="B119" s="115" t="s">
        <v>118</v>
      </c>
      <c r="C119" s="84"/>
      <c r="D119" s="84"/>
      <c r="E119" s="84"/>
      <c r="F119" s="84"/>
      <c r="G119" s="84"/>
      <c r="H119" s="84"/>
      <c r="I119" s="84"/>
    </row>
    <row r="120" spans="1:9" x14ac:dyDescent="0.35">
      <c r="A120" s="84"/>
      <c r="B120" s="115" t="s">
        <v>119</v>
      </c>
      <c r="C120" s="84"/>
      <c r="D120" s="84"/>
      <c r="E120" s="84"/>
      <c r="F120" s="84"/>
      <c r="G120" s="84"/>
      <c r="H120" s="84"/>
      <c r="I120" s="84"/>
    </row>
    <row r="121" spans="1:9" ht="15" thickBot="1" x14ac:dyDescent="0.4">
      <c r="A121" s="84"/>
      <c r="B121" s="115"/>
      <c r="C121" s="84"/>
      <c r="D121" s="84"/>
      <c r="E121" s="84"/>
      <c r="F121" s="84"/>
      <c r="G121" s="84"/>
      <c r="H121" s="84"/>
      <c r="I121" s="84"/>
    </row>
    <row r="122" spans="1:9" ht="15" thickBot="1" x14ac:dyDescent="0.4">
      <c r="A122" s="84"/>
      <c r="B122" s="100"/>
      <c r="C122" s="101"/>
      <c r="D122" s="101"/>
      <c r="E122" s="101">
        <v>2024</v>
      </c>
      <c r="F122" s="101">
        <v>2025</v>
      </c>
      <c r="G122" s="101">
        <v>2026</v>
      </c>
      <c r="H122" s="101">
        <v>2027</v>
      </c>
      <c r="I122" s="102">
        <v>2028</v>
      </c>
    </row>
    <row r="123" spans="1:9" x14ac:dyDescent="0.35">
      <c r="A123" s="84"/>
      <c r="B123" s="116" t="s">
        <v>104</v>
      </c>
      <c r="C123" s="117"/>
      <c r="D123" s="117"/>
      <c r="E123" s="117">
        <v>2892237694</v>
      </c>
      <c r="F123" s="117">
        <v>3143714762</v>
      </c>
      <c r="G123" s="117">
        <v>3381050187</v>
      </c>
      <c r="H123" s="117">
        <v>3614411803</v>
      </c>
      <c r="I123" s="118">
        <v>3844200844</v>
      </c>
    </row>
    <row r="124" spans="1:9" ht="15" thickBot="1" x14ac:dyDescent="0.4">
      <c r="A124" s="84"/>
      <c r="B124" s="119" t="s">
        <v>105</v>
      </c>
      <c r="C124" s="107"/>
      <c r="D124" s="107"/>
      <c r="E124" s="107" t="s">
        <v>112</v>
      </c>
      <c r="F124" s="107">
        <v>78.599999999999994</v>
      </c>
      <c r="G124" s="107">
        <v>84.5</v>
      </c>
      <c r="H124" s="107">
        <v>90.4</v>
      </c>
      <c r="I124" s="108">
        <v>96.1</v>
      </c>
    </row>
    <row r="125" spans="1:9" x14ac:dyDescent="0.35">
      <c r="A125" s="84"/>
      <c r="B125" s="115" t="s">
        <v>113</v>
      </c>
      <c r="C125" s="120"/>
      <c r="D125" s="120"/>
      <c r="E125" s="120"/>
      <c r="F125" s="120"/>
      <c r="G125" s="120"/>
      <c r="H125" s="120"/>
      <c r="I125" s="120"/>
    </row>
    <row r="126" spans="1:9" x14ac:dyDescent="0.35">
      <c r="A126" s="84"/>
      <c r="B126" s="115"/>
      <c r="C126" s="120"/>
      <c r="D126" s="120"/>
      <c r="E126" s="120"/>
      <c r="F126" s="120"/>
      <c r="G126" s="120"/>
      <c r="H126" s="120"/>
      <c r="I126" s="120"/>
    </row>
    <row r="127" spans="1:9" x14ac:dyDescent="0.35">
      <c r="A127" s="84"/>
      <c r="B127" s="84"/>
      <c r="C127" s="84"/>
      <c r="D127" s="84"/>
      <c r="E127" s="84"/>
      <c r="F127" s="84"/>
      <c r="G127" s="84"/>
      <c r="H127" s="84"/>
      <c r="I127" s="84"/>
    </row>
    <row r="128" spans="1:9" x14ac:dyDescent="0.35">
      <c r="A128" s="84"/>
      <c r="B128" s="86" t="s">
        <v>114</v>
      </c>
      <c r="C128" s="86"/>
      <c r="D128" s="86"/>
      <c r="E128" s="86"/>
      <c r="F128" s="86">
        <f t="shared" ref="F128:I128" si="8">F123*0.0188</f>
        <v>59101837.525600001</v>
      </c>
      <c r="G128" s="86">
        <f t="shared" si="8"/>
        <v>63563743.515600003</v>
      </c>
      <c r="H128" s="86">
        <f t="shared" si="8"/>
        <v>67950941.896400005</v>
      </c>
      <c r="I128" s="86">
        <f t="shared" si="8"/>
        <v>72270975.867200002</v>
      </c>
    </row>
    <row r="129" spans="1:9" x14ac:dyDescent="0.35">
      <c r="A129" s="84"/>
      <c r="B129" s="86" t="s">
        <v>115</v>
      </c>
      <c r="D129" s="86"/>
      <c r="E129" s="86">
        <v>54.4</v>
      </c>
      <c r="F129" s="86">
        <v>59.1</v>
      </c>
      <c r="G129" s="86">
        <v>63.6</v>
      </c>
      <c r="H129" s="86">
        <v>68</v>
      </c>
      <c r="I129" s="86">
        <v>72.3</v>
      </c>
    </row>
    <row r="130" spans="1:9" x14ac:dyDescent="0.35">
      <c r="A130" s="84"/>
      <c r="B130" s="86" t="s">
        <v>116</v>
      </c>
      <c r="C130" s="86"/>
      <c r="D130" s="86"/>
      <c r="E130" s="86"/>
      <c r="F130" s="86">
        <f>F129-E129</f>
        <v>4.7000000000000028</v>
      </c>
      <c r="G130" s="86">
        <f>G129-F129</f>
        <v>4.5</v>
      </c>
      <c r="H130" s="86">
        <f>H129-G129</f>
        <v>4.3999999999999986</v>
      </c>
      <c r="I130" s="86">
        <f>I129-H129</f>
        <v>4.2999999999999972</v>
      </c>
    </row>
    <row r="131" spans="1:9" x14ac:dyDescent="0.35">
      <c r="A131" s="84"/>
      <c r="B131" s="84"/>
      <c r="C131" s="84"/>
      <c r="D131" s="84"/>
      <c r="E131" s="84"/>
      <c r="F131" s="84"/>
      <c r="G131" s="84"/>
      <c r="H131" s="84"/>
      <c r="I131" s="84"/>
    </row>
    <row r="132" spans="1:9" x14ac:dyDescent="0.35">
      <c r="A132" s="84"/>
      <c r="B132" s="84"/>
      <c r="C132" s="84"/>
      <c r="D132" s="84"/>
      <c r="E132" s="84"/>
      <c r="F132" s="84"/>
      <c r="G132" s="84"/>
      <c r="H132" s="84"/>
      <c r="I132" s="84"/>
    </row>
    <row r="133" spans="1:9" x14ac:dyDescent="0.35">
      <c r="A133" s="84"/>
      <c r="B133" s="84"/>
      <c r="C133" s="84"/>
      <c r="D133" s="84"/>
      <c r="E133" s="84"/>
      <c r="F133" s="84"/>
      <c r="G133" s="84"/>
      <c r="H133" s="84"/>
      <c r="I133" s="84"/>
    </row>
    <row r="134" spans="1:9" x14ac:dyDescent="0.35">
      <c r="A134" s="84"/>
      <c r="B134" s="84"/>
      <c r="C134" s="84"/>
      <c r="D134" s="84"/>
      <c r="E134" s="84"/>
      <c r="F134" s="84"/>
      <c r="G134" s="84"/>
      <c r="H134" s="84"/>
      <c r="I134" s="84"/>
    </row>
    <row r="135" spans="1:9" x14ac:dyDescent="0.35">
      <c r="A135" s="84"/>
      <c r="B135" s="84"/>
      <c r="C135" s="84"/>
      <c r="D135" s="84"/>
      <c r="E135" s="84"/>
      <c r="F135" s="84"/>
      <c r="G135" s="84"/>
      <c r="H135" s="84"/>
      <c r="I135" s="84"/>
    </row>
    <row r="136" spans="1:9" x14ac:dyDescent="0.35">
      <c r="A136" s="84"/>
      <c r="B136" s="84"/>
      <c r="C136" s="84"/>
      <c r="D136" s="84"/>
      <c r="E136" s="84"/>
      <c r="F136" s="84"/>
      <c r="G136" s="84"/>
      <c r="H136" s="84"/>
      <c r="I136" s="84"/>
    </row>
    <row r="137" spans="1:9" x14ac:dyDescent="0.35">
      <c r="A137" s="3"/>
      <c r="B137" s="3"/>
      <c r="C137" s="3"/>
      <c r="D137" s="3"/>
      <c r="E137" s="3"/>
      <c r="F137" s="3"/>
      <c r="G137" s="3"/>
      <c r="H137" s="3"/>
      <c r="I137" s="3"/>
    </row>
  </sheetData>
  <mergeCells count="2">
    <mergeCell ref="A4:A6"/>
    <mergeCell ref="B4:B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0DDA-E290-4E7D-925B-441E217569C5}">
  <dimension ref="A1:AV102"/>
  <sheetViews>
    <sheetView topLeftCell="A66" zoomScale="130" zoomScaleNormal="130" workbookViewId="0">
      <selection activeCell="AV103" sqref="AV103"/>
    </sheetView>
  </sheetViews>
  <sheetFormatPr defaultRowHeight="14.5" x14ac:dyDescent="0.35"/>
  <cols>
    <col min="1" max="1" width="10.54296875" customWidth="1"/>
    <col min="2" max="2" width="18.54296875" customWidth="1"/>
    <col min="3" max="3" width="4.90625" customWidth="1"/>
    <col min="4" max="4" width="14.7265625" customWidth="1"/>
    <col min="5" max="5" width="14.26953125" customWidth="1"/>
    <col min="6" max="6" width="5.1796875" customWidth="1"/>
    <col min="7" max="7" width="16.90625" customWidth="1"/>
    <col min="8" max="8" width="20.453125" customWidth="1"/>
    <col min="9" max="9" width="4.26953125" customWidth="1"/>
    <col min="10" max="10" width="4.90625" customWidth="1"/>
    <col min="11" max="11" width="18.54296875" customWidth="1"/>
    <col min="12" max="12" width="1.81640625" customWidth="1"/>
    <col min="13" max="16" width="11.81640625" style="3" customWidth="1"/>
    <col min="17" max="17" width="2" customWidth="1"/>
    <col min="18" max="18" width="11.26953125" customWidth="1"/>
    <col min="19" max="19" width="11.90625" customWidth="1"/>
    <col min="20" max="20" width="12.1796875" customWidth="1"/>
    <col min="21" max="21" width="11.08984375" customWidth="1"/>
    <col min="22" max="22" width="11.7265625" customWidth="1"/>
    <col min="23" max="23" width="3.54296875" customWidth="1"/>
    <col min="24" max="24" width="18.90625" style="3" customWidth="1"/>
    <col min="25" max="25" width="2.90625" style="3" customWidth="1"/>
    <col min="26" max="26" width="11" style="3" customWidth="1"/>
    <col min="27" max="27" width="11.6328125" style="3" customWidth="1"/>
    <col min="28" max="28" width="11.36328125" style="3" customWidth="1"/>
    <col min="29" max="29" width="10" style="3" customWidth="1"/>
    <col min="30" max="30" width="2.36328125" style="3" customWidth="1"/>
    <col min="31" max="31" width="9.08984375" style="3" customWidth="1"/>
    <col min="32" max="32" width="11.36328125" style="3" customWidth="1"/>
    <col min="33" max="33" width="9.26953125" style="3" customWidth="1"/>
    <col min="34" max="34" width="9.54296875" customWidth="1"/>
    <col min="35" max="35" width="11.08984375" customWidth="1"/>
    <col min="36" max="36" width="1.08984375" customWidth="1"/>
    <col min="37" max="37" width="18.08984375" customWidth="1"/>
    <col min="38" max="38" width="1.36328125" customWidth="1"/>
    <col min="39" max="39" width="10.36328125" customWidth="1"/>
    <col min="40" max="40" width="11.36328125" customWidth="1"/>
    <col min="41" max="41" width="10" customWidth="1"/>
    <col min="42" max="42" width="11.90625" customWidth="1"/>
    <col min="43" max="43" width="10.90625" customWidth="1"/>
    <col min="44" max="44" width="11.08984375" customWidth="1"/>
    <col min="45" max="45" width="12.1796875" customWidth="1"/>
    <col min="46" max="46" width="10.26953125" customWidth="1"/>
    <col min="47" max="47" width="11" customWidth="1"/>
    <col min="48" max="48" width="12" customWidth="1"/>
  </cols>
  <sheetData>
    <row r="1" spans="1:4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Q1" s="3"/>
      <c r="R1" s="3"/>
      <c r="S1" s="3"/>
      <c r="T1" s="3"/>
      <c r="U1" s="3"/>
      <c r="V1" s="3"/>
      <c r="W1" s="3"/>
    </row>
    <row r="2" spans="1:48" s="29" customFormat="1" ht="18.5" x14ac:dyDescent="0.45">
      <c r="A2" s="6"/>
      <c r="B2" s="6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4"/>
      <c r="N2" s="4"/>
      <c r="O2" s="4"/>
      <c r="P2" s="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48" s="4" customFormat="1" thickBot="1" x14ac:dyDescent="0.35">
      <c r="A3" s="4" t="s">
        <v>303</v>
      </c>
    </row>
    <row r="4" spans="1:48" s="4" customFormat="1" ht="14" customHeight="1" x14ac:dyDescent="0.3">
      <c r="A4" s="805" t="s">
        <v>0</v>
      </c>
      <c r="B4" s="808" t="s">
        <v>1</v>
      </c>
      <c r="D4" s="174" t="s">
        <v>302</v>
      </c>
      <c r="E4" s="168"/>
      <c r="G4" s="174" t="s">
        <v>191</v>
      </c>
      <c r="H4" s="168"/>
      <c r="K4" s="811" t="s">
        <v>1</v>
      </c>
      <c r="M4" s="174" t="s">
        <v>183</v>
      </c>
      <c r="N4" s="167"/>
      <c r="O4" s="167"/>
      <c r="P4" s="168"/>
      <c r="R4" s="174" t="s">
        <v>327</v>
      </c>
      <c r="S4" s="167"/>
      <c r="T4" s="167"/>
      <c r="U4" s="167"/>
      <c r="V4" s="168"/>
      <c r="X4" s="796" t="s">
        <v>1</v>
      </c>
      <c r="Z4" s="174" t="s">
        <v>183</v>
      </c>
      <c r="AA4" s="167"/>
      <c r="AB4" s="167"/>
      <c r="AC4" s="168"/>
      <c r="AE4" s="174" t="s">
        <v>192</v>
      </c>
      <c r="AF4" s="167"/>
      <c r="AG4" s="167"/>
      <c r="AH4" s="167"/>
      <c r="AI4" s="168"/>
      <c r="AK4" s="811" t="s">
        <v>1</v>
      </c>
      <c r="AL4" s="225"/>
      <c r="AM4" s="174" t="s">
        <v>313</v>
      </c>
      <c r="AN4" s="167"/>
      <c r="AO4" s="226"/>
      <c r="AP4" s="226"/>
      <c r="AQ4" s="167"/>
      <c r="AR4" s="167"/>
      <c r="AS4" s="167"/>
      <c r="AT4" s="167"/>
      <c r="AU4" s="167"/>
      <c r="AV4" s="168"/>
    </row>
    <row r="5" spans="1:48" s="4" customFormat="1" ht="14" x14ac:dyDescent="0.3">
      <c r="A5" s="806"/>
      <c r="B5" s="809"/>
      <c r="D5" s="175" t="s">
        <v>304</v>
      </c>
      <c r="E5" s="170"/>
      <c r="G5" s="175" t="s">
        <v>189</v>
      </c>
      <c r="H5" s="170"/>
      <c r="K5" s="812"/>
      <c r="M5" s="218" t="s">
        <v>188</v>
      </c>
      <c r="N5" s="42" t="s">
        <v>193</v>
      </c>
      <c r="P5" s="170"/>
      <c r="R5" s="175" t="s">
        <v>328</v>
      </c>
      <c r="V5" s="170"/>
      <c r="X5" s="797"/>
      <c r="Z5" s="218" t="s">
        <v>188</v>
      </c>
      <c r="AA5" s="42" t="s">
        <v>194</v>
      </c>
      <c r="AC5" s="170"/>
      <c r="AE5" s="175" t="s">
        <v>189</v>
      </c>
      <c r="AI5" s="170"/>
      <c r="AK5" s="812"/>
      <c r="AL5" s="225"/>
      <c r="AM5" s="483" t="s">
        <v>184</v>
      </c>
      <c r="AN5" s="485" t="s">
        <v>195</v>
      </c>
      <c r="AO5" s="471" t="s">
        <v>196</v>
      </c>
      <c r="AP5" s="471"/>
      <c r="AQ5" s="275" t="s">
        <v>197</v>
      </c>
      <c r="AR5" s="471"/>
      <c r="AS5" s="471"/>
      <c r="AT5" s="471"/>
      <c r="AU5" s="471"/>
      <c r="AV5" s="487"/>
    </row>
    <row r="6" spans="1:48" s="4" customFormat="1" ht="17" customHeight="1" thickBot="1" x14ac:dyDescent="0.35">
      <c r="A6" s="807"/>
      <c r="B6" s="810"/>
      <c r="D6" s="498" t="s">
        <v>184</v>
      </c>
      <c r="E6" s="497" t="s">
        <v>185</v>
      </c>
      <c r="G6" s="499" t="s">
        <v>185</v>
      </c>
      <c r="H6" s="500" t="s">
        <v>312</v>
      </c>
      <c r="K6" s="813"/>
      <c r="M6" s="498" t="s">
        <v>184</v>
      </c>
      <c r="N6" s="497" t="s">
        <v>185</v>
      </c>
      <c r="O6" s="496" t="s">
        <v>186</v>
      </c>
      <c r="P6" s="172" t="s">
        <v>187</v>
      </c>
      <c r="R6" s="497" t="s">
        <v>185</v>
      </c>
      <c r="S6" s="497" t="s">
        <v>301</v>
      </c>
      <c r="T6" s="496" t="s">
        <v>186</v>
      </c>
      <c r="U6" s="501" t="s">
        <v>187</v>
      </c>
      <c r="V6" s="522" t="s">
        <v>301</v>
      </c>
      <c r="X6" s="798"/>
      <c r="Z6" s="497" t="s">
        <v>184</v>
      </c>
      <c r="AA6" s="497" t="s">
        <v>185</v>
      </c>
      <c r="AB6" s="496" t="s">
        <v>186</v>
      </c>
      <c r="AC6" s="172" t="s">
        <v>187</v>
      </c>
      <c r="AE6" s="499" t="s">
        <v>185</v>
      </c>
      <c r="AF6" s="500" t="s">
        <v>299</v>
      </c>
      <c r="AG6" s="496" t="s">
        <v>186</v>
      </c>
      <c r="AH6" s="501" t="s">
        <v>187</v>
      </c>
      <c r="AI6" s="172" t="s">
        <v>299</v>
      </c>
      <c r="AK6" s="813"/>
      <c r="AL6" s="225"/>
      <c r="AM6" s="227" t="s">
        <v>3</v>
      </c>
      <c r="AN6" s="484" t="s">
        <v>185</v>
      </c>
      <c r="AO6" s="171" t="s">
        <v>185</v>
      </c>
      <c r="AP6" s="488" t="s">
        <v>301</v>
      </c>
      <c r="AQ6" s="482" t="s">
        <v>184</v>
      </c>
      <c r="AR6" s="486" t="s">
        <v>329</v>
      </c>
      <c r="AS6" s="486" t="s">
        <v>301</v>
      </c>
      <c r="AT6" s="489" t="s">
        <v>185</v>
      </c>
      <c r="AU6" s="523" t="s">
        <v>329</v>
      </c>
      <c r="AV6" s="172" t="s">
        <v>301</v>
      </c>
    </row>
    <row r="7" spans="1:48" s="4" customFormat="1" ht="14" x14ac:dyDescent="0.3">
      <c r="A7" s="92" t="s">
        <v>7</v>
      </c>
      <c r="B7" s="139" t="s">
        <v>8</v>
      </c>
      <c r="D7" s="467">
        <v>6286</v>
      </c>
      <c r="E7" s="13">
        <v>1272</v>
      </c>
      <c r="G7" s="437">
        <f t="shared" ref="G7:G38" si="0">E7/D7</f>
        <v>0.20235443843461662</v>
      </c>
      <c r="H7" s="711">
        <f>G7-G86</f>
        <v>1.08060199603707E-2</v>
      </c>
      <c r="K7" s="416" t="s">
        <v>8</v>
      </c>
      <c r="M7" s="477">
        <v>6431</v>
      </c>
      <c r="N7" s="146">
        <f>O7+P7</f>
        <v>1367</v>
      </c>
      <c r="O7" s="472">
        <v>1185</v>
      </c>
      <c r="P7" s="473">
        <v>182</v>
      </c>
      <c r="R7" s="479">
        <f>N7/M7</f>
        <v>0.21256414243508009</v>
      </c>
      <c r="S7" s="741">
        <f>R7-R86</f>
        <v>1.118816419826954E-2</v>
      </c>
      <c r="T7" s="440">
        <f>O7/M7</f>
        <v>0.18426372259368684</v>
      </c>
      <c r="U7" s="438">
        <f>P7/M7</f>
        <v>2.830041984139325E-2</v>
      </c>
      <c r="V7" s="748">
        <f>U7-U86</f>
        <v>7.5382643945580766E-4</v>
      </c>
      <c r="X7" s="130" t="s">
        <v>8</v>
      </c>
      <c r="Z7" s="420">
        <v>6437</v>
      </c>
      <c r="AA7" s="424">
        <v>1408</v>
      </c>
      <c r="AB7" s="421">
        <v>1215</v>
      </c>
      <c r="AC7" s="433">
        <v>193</v>
      </c>
      <c r="AE7" s="437">
        <f>AA7/Z7</f>
        <v>0.21873543576200094</v>
      </c>
      <c r="AF7" s="711">
        <f>(AE7-AE86)</f>
        <v>1.4799964154304207E-2</v>
      </c>
      <c r="AG7" s="440">
        <f>AB7/Z7</f>
        <v>0.18875252446791985</v>
      </c>
      <c r="AH7" s="438">
        <f>AC7/Z7</f>
        <v>2.9982911294081094E-2</v>
      </c>
      <c r="AI7" s="751">
        <f>AH7-AH86</f>
        <v>1.3506402521111308E-3</v>
      </c>
      <c r="AK7" s="416" t="s">
        <v>8</v>
      </c>
      <c r="AL7" s="228"/>
      <c r="AM7" s="490">
        <f t="shared" ref="AM7:AM38" si="1">Z7-D7</f>
        <v>151</v>
      </c>
      <c r="AN7" s="491">
        <f t="shared" ref="AN7:AN38" si="2">AA7-E7</f>
        <v>136</v>
      </c>
      <c r="AO7" s="502">
        <f t="shared" ref="AO7:AO38" si="3">AE7-G7</f>
        <v>1.6380997327384322E-2</v>
      </c>
      <c r="AP7" s="508">
        <f>AO7-AO86</f>
        <v>3.9939441939335074E-3</v>
      </c>
      <c r="AQ7" s="437">
        <f t="shared" ref="AQ7:AQ38" si="4">Z7/D7</f>
        <v>1.0240216353802101</v>
      </c>
      <c r="AR7" s="526" t="s">
        <v>333</v>
      </c>
      <c r="AS7" s="541">
        <f>AQ7-AQ86</f>
        <v>1.0654737198748876E-2</v>
      </c>
      <c r="AT7" s="437">
        <f t="shared" ref="AT7:AT38" si="5">AA7/E7</f>
        <v>1.1069182389937107</v>
      </c>
      <c r="AU7" s="530" t="s">
        <v>335</v>
      </c>
      <c r="AV7" s="544">
        <f>AT7-AT86</f>
        <v>2.8018930200664371E-2</v>
      </c>
    </row>
    <row r="8" spans="1:48" s="4" customFormat="1" ht="14" x14ac:dyDescent="0.3">
      <c r="A8" s="95" t="s">
        <v>7</v>
      </c>
      <c r="B8" s="140" t="s">
        <v>9</v>
      </c>
      <c r="D8" s="463">
        <v>14356</v>
      </c>
      <c r="E8" s="465">
        <v>1602</v>
      </c>
      <c r="G8" s="437">
        <f t="shared" si="0"/>
        <v>0.11159097241571468</v>
      </c>
      <c r="H8" s="714">
        <f>G8-G86</f>
        <v>-7.9957446058531237E-2</v>
      </c>
      <c r="K8" s="417" t="s">
        <v>9</v>
      </c>
      <c r="M8" s="419">
        <v>17520</v>
      </c>
      <c r="N8" s="13">
        <f t="shared" ref="N8:N71" si="6">O8+P8</f>
        <v>2053</v>
      </c>
      <c r="O8" s="472">
        <v>1869</v>
      </c>
      <c r="P8" s="473">
        <v>184</v>
      </c>
      <c r="R8" s="479">
        <f t="shared" ref="R8:R71" si="7">N8/M8</f>
        <v>0.11718036529680366</v>
      </c>
      <c r="S8" s="746">
        <f>R8-R86</f>
        <v>-8.4195612940006895E-2</v>
      </c>
      <c r="T8" s="440">
        <f t="shared" ref="T8:T71" si="8">O8/M8</f>
        <v>0.10667808219178082</v>
      </c>
      <c r="U8" s="438">
        <f t="shared" ref="U8:U71" si="9">P8/M8</f>
        <v>1.0502283105022832E-2</v>
      </c>
      <c r="V8" s="704">
        <f>U8-U86</f>
        <v>-1.7044310296914611E-2</v>
      </c>
      <c r="X8" s="131" t="s">
        <v>9</v>
      </c>
      <c r="Z8" s="419">
        <v>18068</v>
      </c>
      <c r="AA8" s="425">
        <v>2162</v>
      </c>
      <c r="AB8" s="422">
        <v>1962</v>
      </c>
      <c r="AC8" s="434">
        <v>200</v>
      </c>
      <c r="AE8" s="437">
        <f t="shared" ref="AE8:AE71" si="10">AA8/Z8</f>
        <v>0.11965906575160505</v>
      </c>
      <c r="AF8" s="714">
        <f>(AE8-AE86)</f>
        <v>-8.4276405856091682E-2</v>
      </c>
      <c r="AG8" s="440">
        <f t="shared" ref="AG8:AG71" si="11">AB8/Z8</f>
        <v>0.10858977197254815</v>
      </c>
      <c r="AH8" s="438">
        <f t="shared" ref="AH8:AH71" si="12">AC8/Z8</f>
        <v>1.1069293779056896E-2</v>
      </c>
      <c r="AI8" s="754">
        <f>AH8-AH86</f>
        <v>-1.7562977262913067E-2</v>
      </c>
      <c r="AK8" s="417" t="s">
        <v>9</v>
      </c>
      <c r="AL8" s="228"/>
      <c r="AM8" s="490">
        <f t="shared" si="1"/>
        <v>3712</v>
      </c>
      <c r="AN8" s="491">
        <f t="shared" si="2"/>
        <v>560</v>
      </c>
      <c r="AO8" s="502">
        <f t="shared" si="3"/>
        <v>8.0680933358903695E-3</v>
      </c>
      <c r="AP8" s="511">
        <f>AO8-AO86</f>
        <v>-4.3189597975604455E-3</v>
      </c>
      <c r="AQ8" s="437">
        <f t="shared" si="4"/>
        <v>1.2585678461967122</v>
      </c>
      <c r="AR8" s="529" t="s">
        <v>336</v>
      </c>
      <c r="AS8" s="543">
        <f>AQ8-AQ86</f>
        <v>0.24520094801525105</v>
      </c>
      <c r="AT8" s="437">
        <f t="shared" si="5"/>
        <v>1.3495630461922596</v>
      </c>
      <c r="AU8" s="529" t="s">
        <v>336</v>
      </c>
      <c r="AV8" s="545">
        <f>AT8-AT86</f>
        <v>0.27066373739921334</v>
      </c>
    </row>
    <row r="9" spans="1:48" s="4" customFormat="1" ht="14" x14ac:dyDescent="0.3">
      <c r="A9" s="95" t="s">
        <v>7</v>
      </c>
      <c r="B9" s="140" t="s">
        <v>10</v>
      </c>
      <c r="D9" s="463">
        <v>6424</v>
      </c>
      <c r="E9" s="466">
        <v>917</v>
      </c>
      <c r="G9" s="437">
        <f t="shared" si="0"/>
        <v>0.14274595267745951</v>
      </c>
      <c r="H9" s="710">
        <f>G9-G86</f>
        <v>-4.8802465796786404E-2</v>
      </c>
      <c r="K9" s="417" t="s">
        <v>10</v>
      </c>
      <c r="M9" s="419">
        <v>7217</v>
      </c>
      <c r="N9" s="13">
        <f t="shared" si="6"/>
        <v>1116</v>
      </c>
      <c r="O9" s="472">
        <v>1001</v>
      </c>
      <c r="P9" s="473">
        <v>115</v>
      </c>
      <c r="R9" s="479">
        <f t="shared" si="7"/>
        <v>0.15463488984342524</v>
      </c>
      <c r="S9" s="745">
        <f>R9-R86</f>
        <v>-4.6741088393385311E-2</v>
      </c>
      <c r="T9" s="440">
        <f t="shared" si="8"/>
        <v>0.13870029097963144</v>
      </c>
      <c r="U9" s="438">
        <f t="shared" si="9"/>
        <v>1.5934598863793819E-2</v>
      </c>
      <c r="V9" s="704">
        <f>U9-U86</f>
        <v>-1.1611994538143624E-2</v>
      </c>
      <c r="X9" s="131" t="s">
        <v>10</v>
      </c>
      <c r="Z9" s="419">
        <v>7463</v>
      </c>
      <c r="AA9" s="425">
        <v>1169</v>
      </c>
      <c r="AB9" s="422">
        <v>1053</v>
      </c>
      <c r="AC9" s="434">
        <v>116</v>
      </c>
      <c r="AE9" s="437">
        <f t="shared" si="10"/>
        <v>0.15663942114431195</v>
      </c>
      <c r="AF9" s="710">
        <f>AE9-AE86</f>
        <v>-4.7296050463384781E-2</v>
      </c>
      <c r="AG9" s="440">
        <f t="shared" si="11"/>
        <v>0.14109607396489349</v>
      </c>
      <c r="AH9" s="438">
        <f t="shared" si="12"/>
        <v>1.5543347179418465E-2</v>
      </c>
      <c r="AI9" s="754">
        <f>AH9-AH86</f>
        <v>-1.3088923862551498E-2</v>
      </c>
      <c r="AK9" s="417" t="s">
        <v>10</v>
      </c>
      <c r="AL9" s="228"/>
      <c r="AM9" s="490">
        <f t="shared" si="1"/>
        <v>1039</v>
      </c>
      <c r="AN9" s="491">
        <f t="shared" si="2"/>
        <v>252</v>
      </c>
      <c r="AO9" s="502">
        <f t="shared" si="3"/>
        <v>1.3893468466852438E-2</v>
      </c>
      <c r="AP9" s="511">
        <f>AO9-AO86</f>
        <v>1.5064153334016228E-3</v>
      </c>
      <c r="AQ9" s="437">
        <f t="shared" si="4"/>
        <v>1.1617372353673723</v>
      </c>
      <c r="AR9" s="530" t="s">
        <v>335</v>
      </c>
      <c r="AS9" s="542">
        <f>AQ9-AQ86</f>
        <v>0.14837033718591108</v>
      </c>
      <c r="AT9" s="437">
        <f t="shared" si="5"/>
        <v>1.2748091603053435</v>
      </c>
      <c r="AU9" s="529" t="s">
        <v>336</v>
      </c>
      <c r="AV9" s="546">
        <f>AT9-AT86</f>
        <v>0.19590985151229723</v>
      </c>
    </row>
    <row r="10" spans="1:48" s="4" customFormat="1" ht="14" x14ac:dyDescent="0.3">
      <c r="A10" s="95" t="s">
        <v>7</v>
      </c>
      <c r="B10" s="140" t="s">
        <v>11</v>
      </c>
      <c r="D10" s="463">
        <v>9956</v>
      </c>
      <c r="E10" s="465">
        <v>1572</v>
      </c>
      <c r="G10" s="437">
        <f t="shared" si="0"/>
        <v>0.15789473684210525</v>
      </c>
      <c r="H10" s="710">
        <f>G10-G86</f>
        <v>-3.3653681632140664E-2</v>
      </c>
      <c r="K10" s="417" t="s">
        <v>11</v>
      </c>
      <c r="M10" s="419">
        <v>10387</v>
      </c>
      <c r="N10" s="13">
        <f t="shared" si="6"/>
        <v>1741</v>
      </c>
      <c r="O10" s="472">
        <v>1502</v>
      </c>
      <c r="P10" s="473">
        <v>239</v>
      </c>
      <c r="R10" s="479">
        <f t="shared" si="7"/>
        <v>0.16761336285741793</v>
      </c>
      <c r="S10" s="745">
        <f>R10-R86</f>
        <v>-3.3762615379392624E-2</v>
      </c>
      <c r="T10" s="440">
        <f t="shared" si="8"/>
        <v>0.14460383171271782</v>
      </c>
      <c r="U10" s="438">
        <f t="shared" si="9"/>
        <v>2.3009531144700106E-2</v>
      </c>
      <c r="V10" s="704">
        <f>U10-U86</f>
        <v>-4.537062257237337E-3</v>
      </c>
      <c r="X10" s="131" t="s">
        <v>11</v>
      </c>
      <c r="Z10" s="419">
        <v>10417</v>
      </c>
      <c r="AA10" s="425">
        <v>1774</v>
      </c>
      <c r="AB10" s="422">
        <v>1512</v>
      </c>
      <c r="AC10" s="434">
        <v>262</v>
      </c>
      <c r="AE10" s="437">
        <f t="shared" si="10"/>
        <v>0.17029855044638573</v>
      </c>
      <c r="AF10" s="710">
        <f>AE10-AE86</f>
        <v>-3.3636921161311006E-2</v>
      </c>
      <c r="AG10" s="440">
        <f t="shared" si="11"/>
        <v>0.14514735528463088</v>
      </c>
      <c r="AH10" s="438">
        <f t="shared" si="12"/>
        <v>2.5151195161754823E-2</v>
      </c>
      <c r="AI10" s="754">
        <f>AH10-AH86</f>
        <v>-3.4810758802151405E-3</v>
      </c>
      <c r="AK10" s="417" t="s">
        <v>11</v>
      </c>
      <c r="AL10" s="228"/>
      <c r="AM10" s="490">
        <f t="shared" si="1"/>
        <v>461</v>
      </c>
      <c r="AN10" s="491">
        <f t="shared" si="2"/>
        <v>202</v>
      </c>
      <c r="AO10" s="502">
        <f t="shared" si="3"/>
        <v>1.2403813604280473E-2</v>
      </c>
      <c r="AP10" s="511">
        <f>AO10-AO86</f>
        <v>1.6760470829657592E-5</v>
      </c>
      <c r="AQ10" s="437">
        <f t="shared" si="4"/>
        <v>1.0463037364403376</v>
      </c>
      <c r="AR10" s="526" t="s">
        <v>333</v>
      </c>
      <c r="AS10" s="539">
        <f>AQ10-AQ86</f>
        <v>3.2936838258876389E-2</v>
      </c>
      <c r="AT10" s="437">
        <f t="shared" si="5"/>
        <v>1.1284987277353689</v>
      </c>
      <c r="AU10" s="530" t="s">
        <v>335</v>
      </c>
      <c r="AV10" s="705">
        <f>AT10-AT86</f>
        <v>4.959941894232256E-2</v>
      </c>
    </row>
    <row r="11" spans="1:48" s="4" customFormat="1" ht="14" x14ac:dyDescent="0.3">
      <c r="A11" s="95" t="s">
        <v>7</v>
      </c>
      <c r="B11" s="140" t="s">
        <v>12</v>
      </c>
      <c r="D11" s="463">
        <v>5302</v>
      </c>
      <c r="E11" s="466">
        <v>496</v>
      </c>
      <c r="G11" s="437">
        <f t="shared" si="0"/>
        <v>9.3549603923047911E-2</v>
      </c>
      <c r="H11" s="714">
        <f>G11-G86</f>
        <v>-9.7998814551198007E-2</v>
      </c>
      <c r="K11" s="417" t="s">
        <v>12</v>
      </c>
      <c r="M11" s="419">
        <v>6364</v>
      </c>
      <c r="N11" s="13">
        <f t="shared" si="6"/>
        <v>649</v>
      </c>
      <c r="O11" s="472">
        <v>582</v>
      </c>
      <c r="P11" s="473">
        <v>67</v>
      </c>
      <c r="R11" s="479">
        <f t="shared" si="7"/>
        <v>0.10197988686360779</v>
      </c>
      <c r="S11" s="746">
        <f>R11-R86</f>
        <v>-9.9396091373202766E-2</v>
      </c>
      <c r="T11" s="440">
        <f t="shared" si="8"/>
        <v>9.1451917033312388E-2</v>
      </c>
      <c r="U11" s="438">
        <f t="shared" si="9"/>
        <v>1.0527969830295412E-2</v>
      </c>
      <c r="V11" s="704">
        <f>U11-U86</f>
        <v>-1.7018623571642029E-2</v>
      </c>
      <c r="X11" s="131" t="s">
        <v>12</v>
      </c>
      <c r="Z11" s="419">
        <v>6791</v>
      </c>
      <c r="AA11" s="426">
        <v>680</v>
      </c>
      <c r="AB11" s="423">
        <v>608</v>
      </c>
      <c r="AC11" s="434">
        <v>72</v>
      </c>
      <c r="AE11" s="437">
        <f t="shared" si="10"/>
        <v>0.10013252834634075</v>
      </c>
      <c r="AF11" s="715">
        <f>AE11-AE86</f>
        <v>-0.10380294326135599</v>
      </c>
      <c r="AG11" s="440">
        <f t="shared" si="11"/>
        <v>8.9530260639081136E-2</v>
      </c>
      <c r="AH11" s="438">
        <f t="shared" si="12"/>
        <v>1.0602267707259609E-2</v>
      </c>
      <c r="AI11" s="754">
        <f>AH11-AH86</f>
        <v>-1.8030003334710352E-2</v>
      </c>
      <c r="AK11" s="417" t="s">
        <v>12</v>
      </c>
      <c r="AL11" s="228"/>
      <c r="AM11" s="490">
        <f t="shared" si="1"/>
        <v>1489</v>
      </c>
      <c r="AN11" s="491">
        <f t="shared" si="2"/>
        <v>184</v>
      </c>
      <c r="AO11" s="502">
        <f t="shared" si="3"/>
        <v>6.5829244232928352E-3</v>
      </c>
      <c r="AP11" s="511">
        <f>AO11-AO86</f>
        <v>-5.8041287101579797E-3</v>
      </c>
      <c r="AQ11" s="437">
        <f t="shared" si="4"/>
        <v>1.2808374198415693</v>
      </c>
      <c r="AR11" s="529" t="s">
        <v>336</v>
      </c>
      <c r="AS11" s="543">
        <f>AQ11-AQ86</f>
        <v>0.2674705216601081</v>
      </c>
      <c r="AT11" s="437">
        <f t="shared" si="5"/>
        <v>1.3709677419354838</v>
      </c>
      <c r="AU11" s="529" t="s">
        <v>336</v>
      </c>
      <c r="AV11" s="545">
        <f>AT11-AT86</f>
        <v>0.29206843314243747</v>
      </c>
    </row>
    <row r="12" spans="1:48" s="4" customFormat="1" ht="14" x14ac:dyDescent="0.3">
      <c r="A12" s="95" t="s">
        <v>7</v>
      </c>
      <c r="B12" s="140" t="s">
        <v>13</v>
      </c>
      <c r="D12" s="463">
        <v>7196</v>
      </c>
      <c r="E12" s="465">
        <v>1238</v>
      </c>
      <c r="G12" s="437">
        <f t="shared" si="0"/>
        <v>0.17204002223457476</v>
      </c>
      <c r="H12" s="710">
        <f>G12-G86</f>
        <v>-1.9508396239671155E-2</v>
      </c>
      <c r="K12" s="417" t="s">
        <v>13</v>
      </c>
      <c r="M12" s="419">
        <v>7700</v>
      </c>
      <c r="N12" s="13">
        <f t="shared" si="6"/>
        <v>1271</v>
      </c>
      <c r="O12" s="472">
        <v>1087</v>
      </c>
      <c r="P12" s="473">
        <v>184</v>
      </c>
      <c r="R12" s="479">
        <f t="shared" si="7"/>
        <v>0.16506493506493505</v>
      </c>
      <c r="S12" s="745">
        <f>R12-R86</f>
        <v>-3.6311043171875501E-2</v>
      </c>
      <c r="T12" s="440">
        <f t="shared" si="8"/>
        <v>0.14116883116883117</v>
      </c>
      <c r="U12" s="438">
        <f t="shared" si="9"/>
        <v>2.3896103896103898E-2</v>
      </c>
      <c r="V12" s="704">
        <f>U12-U86</f>
        <v>-3.650489505833545E-3</v>
      </c>
      <c r="X12" s="131" t="s">
        <v>13</v>
      </c>
      <c r="Z12" s="419">
        <v>7793</v>
      </c>
      <c r="AA12" s="425">
        <v>1291</v>
      </c>
      <c r="AB12" s="422">
        <v>1114</v>
      </c>
      <c r="AC12" s="434">
        <v>177</v>
      </c>
      <c r="AE12" s="437">
        <f t="shared" si="10"/>
        <v>0.16566149108174003</v>
      </c>
      <c r="AF12" s="710">
        <f>AE12-AE86</f>
        <v>-3.8273980525956708E-2</v>
      </c>
      <c r="AG12" s="440">
        <f t="shared" si="11"/>
        <v>0.14294880020531245</v>
      </c>
      <c r="AH12" s="438">
        <f t="shared" si="12"/>
        <v>2.2712690876427563E-2</v>
      </c>
      <c r="AI12" s="754">
        <f>AH12-AH86</f>
        <v>-5.9195801655423999E-3</v>
      </c>
      <c r="AK12" s="417" t="s">
        <v>13</v>
      </c>
      <c r="AL12" s="228"/>
      <c r="AM12" s="490">
        <f t="shared" si="1"/>
        <v>597</v>
      </c>
      <c r="AN12" s="491">
        <f t="shared" si="2"/>
        <v>53</v>
      </c>
      <c r="AO12" s="502">
        <f t="shared" si="3"/>
        <v>-6.3785311528347377E-3</v>
      </c>
      <c r="AP12" s="511">
        <f>AO12-AO86</f>
        <v>-1.8765584286285553E-2</v>
      </c>
      <c r="AQ12" s="437">
        <f t="shared" si="4"/>
        <v>1.0829627570872706</v>
      </c>
      <c r="AR12" s="524" t="s">
        <v>334</v>
      </c>
      <c r="AS12" s="540">
        <f>AQ12-AQ86</f>
        <v>6.9595858905809438E-2</v>
      </c>
      <c r="AT12" s="437">
        <f t="shared" si="5"/>
        <v>1.0428109854604199</v>
      </c>
      <c r="AU12" s="526" t="s">
        <v>333</v>
      </c>
      <c r="AV12" s="706">
        <f>AT12-AT86</f>
        <v>-3.6088323332626349E-2</v>
      </c>
    </row>
    <row r="13" spans="1:48" s="4" customFormat="1" ht="14" x14ac:dyDescent="0.3">
      <c r="A13" s="95" t="s">
        <v>7</v>
      </c>
      <c r="B13" s="140" t="s">
        <v>14</v>
      </c>
      <c r="D13" s="463">
        <v>6547</v>
      </c>
      <c r="E13" s="465">
        <v>1204</v>
      </c>
      <c r="G13" s="437">
        <f t="shared" si="0"/>
        <v>0.18390102336948222</v>
      </c>
      <c r="H13" s="710">
        <f>G13-G86</f>
        <v>-7.647395104763699E-3</v>
      </c>
      <c r="K13" s="417" t="s">
        <v>14</v>
      </c>
      <c r="M13" s="419">
        <v>6614</v>
      </c>
      <c r="N13" s="13">
        <f t="shared" si="6"/>
        <v>1376</v>
      </c>
      <c r="O13" s="472">
        <v>1203</v>
      </c>
      <c r="P13" s="473">
        <v>173</v>
      </c>
      <c r="R13" s="479">
        <f t="shared" si="7"/>
        <v>0.20804354399758088</v>
      </c>
      <c r="S13" s="741">
        <f>R13-R86</f>
        <v>6.667565760770322E-3</v>
      </c>
      <c r="T13" s="440">
        <f t="shared" si="8"/>
        <v>0.18188690656183854</v>
      </c>
      <c r="U13" s="438">
        <f t="shared" si="9"/>
        <v>2.6156637435742366E-2</v>
      </c>
      <c r="V13" s="704">
        <f>U13-U86</f>
        <v>-1.3899559661950771E-3</v>
      </c>
      <c r="X13" s="131" t="s">
        <v>14</v>
      </c>
      <c r="Z13" s="419">
        <v>6630</v>
      </c>
      <c r="AA13" s="425">
        <v>1407</v>
      </c>
      <c r="AB13" s="422">
        <v>1227</v>
      </c>
      <c r="AC13" s="434">
        <v>180</v>
      </c>
      <c r="AE13" s="437">
        <f t="shared" si="10"/>
        <v>0.21221719457013574</v>
      </c>
      <c r="AF13" s="711">
        <f>AE13-AE86</f>
        <v>8.2817229624390087E-3</v>
      </c>
      <c r="AG13" s="440">
        <f t="shared" si="11"/>
        <v>0.18506787330316743</v>
      </c>
      <c r="AH13" s="438">
        <f t="shared" si="12"/>
        <v>2.7149321266968326E-2</v>
      </c>
      <c r="AI13" s="754">
        <f>AH13-AH86</f>
        <v>-1.4829497750016365E-3</v>
      </c>
      <c r="AK13" s="417" t="s">
        <v>14</v>
      </c>
      <c r="AL13" s="228"/>
      <c r="AM13" s="490">
        <f t="shared" si="1"/>
        <v>83</v>
      </c>
      <c r="AN13" s="491">
        <f t="shared" si="2"/>
        <v>203</v>
      </c>
      <c r="AO13" s="502">
        <f t="shared" si="3"/>
        <v>2.8316171200653523E-2</v>
      </c>
      <c r="AP13" s="511">
        <f>AO13-AO86</f>
        <v>1.5929118067202708E-2</v>
      </c>
      <c r="AQ13" s="437">
        <f t="shared" si="4"/>
        <v>1.0126775622422484</v>
      </c>
      <c r="AR13" s="526" t="s">
        <v>333</v>
      </c>
      <c r="AS13" s="535">
        <f>AQ13-AQ86</f>
        <v>-6.8933593921283176E-4</v>
      </c>
      <c r="AT13" s="437">
        <f t="shared" si="5"/>
        <v>1.1686046511627908</v>
      </c>
      <c r="AU13" s="530" t="s">
        <v>335</v>
      </c>
      <c r="AV13" s="705">
        <f>AT13-AT86</f>
        <v>8.9705342369744479E-2</v>
      </c>
    </row>
    <row r="14" spans="1:48" s="4" customFormat="1" ht="14" x14ac:dyDescent="0.3">
      <c r="A14" s="95" t="s">
        <v>7</v>
      </c>
      <c r="B14" s="140" t="s">
        <v>15</v>
      </c>
      <c r="D14" s="463">
        <v>2663</v>
      </c>
      <c r="E14" s="466">
        <v>684</v>
      </c>
      <c r="G14" s="437">
        <f t="shared" si="0"/>
        <v>0.25685317311303041</v>
      </c>
      <c r="H14" s="713">
        <f>G14-G86</f>
        <v>6.530475463878449E-2</v>
      </c>
      <c r="K14" s="417" t="s">
        <v>15</v>
      </c>
      <c r="M14" s="419">
        <v>2498</v>
      </c>
      <c r="N14" s="13">
        <f t="shared" si="6"/>
        <v>770</v>
      </c>
      <c r="O14" s="472">
        <v>675</v>
      </c>
      <c r="P14" s="473">
        <v>95</v>
      </c>
      <c r="R14" s="479">
        <f t="shared" si="7"/>
        <v>0.30824659727782228</v>
      </c>
      <c r="S14" s="744">
        <f>R14-R86</f>
        <v>0.10687061904101172</v>
      </c>
      <c r="T14" s="440">
        <f t="shared" si="8"/>
        <v>0.27021617293835071</v>
      </c>
      <c r="U14" s="438">
        <f t="shared" si="9"/>
        <v>3.8030424339471576E-2</v>
      </c>
      <c r="V14" s="706">
        <f>U14-U86</f>
        <v>1.0483830937534133E-2</v>
      </c>
      <c r="X14" s="131" t="s">
        <v>15</v>
      </c>
      <c r="Z14" s="419">
        <v>2453</v>
      </c>
      <c r="AA14" s="426">
        <v>790</v>
      </c>
      <c r="AB14" s="423">
        <v>684</v>
      </c>
      <c r="AC14" s="434">
        <v>106</v>
      </c>
      <c r="AE14" s="437">
        <f t="shared" si="10"/>
        <v>0.32205462698736242</v>
      </c>
      <c r="AF14" s="750">
        <f>AE14-AE86</f>
        <v>0.11811915537966569</v>
      </c>
      <c r="AG14" s="440">
        <f t="shared" si="11"/>
        <v>0.27884223399918467</v>
      </c>
      <c r="AH14" s="438">
        <f t="shared" si="12"/>
        <v>4.3212392988177743E-2</v>
      </c>
      <c r="AI14" s="752">
        <f>AH14-AH86</f>
        <v>1.458012194620778E-2</v>
      </c>
      <c r="AK14" s="417" t="s">
        <v>15</v>
      </c>
      <c r="AL14" s="228"/>
      <c r="AM14" s="490">
        <f t="shared" si="1"/>
        <v>-210</v>
      </c>
      <c r="AN14" s="491">
        <f t="shared" si="2"/>
        <v>106</v>
      </c>
      <c r="AO14" s="502">
        <f t="shared" si="3"/>
        <v>6.5201453874332016E-2</v>
      </c>
      <c r="AP14" s="511">
        <f>AO14-AO86</f>
        <v>5.2814400740881201E-2</v>
      </c>
      <c r="AQ14" s="437">
        <f t="shared" si="4"/>
        <v>0.92114156965828009</v>
      </c>
      <c r="AR14" s="531" t="s">
        <v>339</v>
      </c>
      <c r="AS14" s="536">
        <f>AQ14-AQ86</f>
        <v>-9.2225328523181105E-2</v>
      </c>
      <c r="AT14" s="437">
        <f t="shared" si="5"/>
        <v>1.1549707602339181</v>
      </c>
      <c r="AU14" s="530" t="s">
        <v>335</v>
      </c>
      <c r="AV14" s="705">
        <f>AT14-AT86</f>
        <v>7.6071451440871796E-2</v>
      </c>
    </row>
    <row r="15" spans="1:48" s="4" customFormat="1" ht="14" x14ac:dyDescent="0.3">
      <c r="A15" s="95" t="s">
        <v>7</v>
      </c>
      <c r="B15" s="140" t="s">
        <v>16</v>
      </c>
      <c r="D15" s="463">
        <v>12881</v>
      </c>
      <c r="E15" s="465">
        <v>2422</v>
      </c>
      <c r="G15" s="437">
        <f t="shared" si="0"/>
        <v>0.18802887974536139</v>
      </c>
      <c r="H15" s="710">
        <f>G15-G86</f>
        <v>-3.5195387288845248E-3</v>
      </c>
      <c r="K15" s="417" t="s">
        <v>16</v>
      </c>
      <c r="M15" s="419">
        <v>13604</v>
      </c>
      <c r="N15" s="13">
        <f t="shared" si="6"/>
        <v>2706</v>
      </c>
      <c r="O15" s="472">
        <v>2415</v>
      </c>
      <c r="P15" s="473">
        <v>291</v>
      </c>
      <c r="R15" s="479">
        <f t="shared" si="7"/>
        <v>0.19891208468097618</v>
      </c>
      <c r="S15" s="745">
        <f>R15-R86</f>
        <v>-2.4638935558343733E-3</v>
      </c>
      <c r="T15" s="440">
        <f t="shared" si="8"/>
        <v>0.17752131725962952</v>
      </c>
      <c r="U15" s="438">
        <f t="shared" si="9"/>
        <v>2.1390767421346664E-2</v>
      </c>
      <c r="V15" s="704">
        <f>U15-U86</f>
        <v>-6.1558259805907789E-3</v>
      </c>
      <c r="X15" s="131" t="s">
        <v>16</v>
      </c>
      <c r="Z15" s="419">
        <v>13772</v>
      </c>
      <c r="AA15" s="425">
        <v>2800</v>
      </c>
      <c r="AB15" s="422">
        <v>2480</v>
      </c>
      <c r="AC15" s="434">
        <v>320</v>
      </c>
      <c r="AE15" s="437">
        <f t="shared" si="10"/>
        <v>0.20331106593087422</v>
      </c>
      <c r="AF15" s="710">
        <f>AE15-AE86</f>
        <v>-6.2440567682250925E-4</v>
      </c>
      <c r="AG15" s="440">
        <f t="shared" si="11"/>
        <v>0.18007551553877432</v>
      </c>
      <c r="AH15" s="438">
        <f t="shared" si="12"/>
        <v>2.3235550392099912E-2</v>
      </c>
      <c r="AI15" s="754">
        <f>AH15-AH86</f>
        <v>-5.3967206498700508E-3</v>
      </c>
      <c r="AK15" s="417" t="s">
        <v>16</v>
      </c>
      <c r="AL15" s="228"/>
      <c r="AM15" s="490">
        <f t="shared" si="1"/>
        <v>891</v>
      </c>
      <c r="AN15" s="491">
        <f t="shared" si="2"/>
        <v>378</v>
      </c>
      <c r="AO15" s="502">
        <f t="shared" si="3"/>
        <v>1.528218618551283E-2</v>
      </c>
      <c r="AP15" s="511">
        <f>AO15-AO86</f>
        <v>2.8951330520620155E-3</v>
      </c>
      <c r="AQ15" s="437">
        <f t="shared" si="4"/>
        <v>1.0691716481639624</v>
      </c>
      <c r="AR15" s="524" t="s">
        <v>334</v>
      </c>
      <c r="AS15" s="540">
        <f>AQ15-AQ86</f>
        <v>5.5804749982501178E-2</v>
      </c>
      <c r="AT15" s="437">
        <f t="shared" si="5"/>
        <v>1.1560693641618498</v>
      </c>
      <c r="AU15" s="530" t="s">
        <v>335</v>
      </c>
      <c r="AV15" s="705">
        <f>AT15-AT86</f>
        <v>7.7170055368803503E-2</v>
      </c>
    </row>
    <row r="16" spans="1:48" s="4" customFormat="1" ht="14" x14ac:dyDescent="0.3">
      <c r="A16" s="95" t="s">
        <v>7</v>
      </c>
      <c r="B16" s="140" t="s">
        <v>17</v>
      </c>
      <c r="D16" s="463">
        <v>15722</v>
      </c>
      <c r="E16" s="465">
        <v>2789</v>
      </c>
      <c r="G16" s="437">
        <f t="shared" si="0"/>
        <v>0.17739473349446636</v>
      </c>
      <c r="H16" s="710">
        <f>G16-G86</f>
        <v>-1.4153684979779563E-2</v>
      </c>
      <c r="K16" s="417" t="s">
        <v>17</v>
      </c>
      <c r="M16" s="419">
        <v>16040</v>
      </c>
      <c r="N16" s="13">
        <f t="shared" si="6"/>
        <v>3405</v>
      </c>
      <c r="O16" s="472">
        <v>3108</v>
      </c>
      <c r="P16" s="473">
        <v>297</v>
      </c>
      <c r="R16" s="479">
        <f t="shared" si="7"/>
        <v>0.21228179551122195</v>
      </c>
      <c r="S16" s="741">
        <f>R16-R86</f>
        <v>1.0905817274411395E-2</v>
      </c>
      <c r="T16" s="440">
        <f t="shared" si="8"/>
        <v>0.19376558603491273</v>
      </c>
      <c r="U16" s="438">
        <f t="shared" si="9"/>
        <v>1.8516209476309227E-2</v>
      </c>
      <c r="V16" s="704">
        <f>U16-U86</f>
        <v>-9.0303839256282159E-3</v>
      </c>
      <c r="X16" s="131" t="s">
        <v>17</v>
      </c>
      <c r="Z16" s="419">
        <v>16255</v>
      </c>
      <c r="AA16" s="425">
        <v>3562</v>
      </c>
      <c r="AB16" s="422">
        <v>3242</v>
      </c>
      <c r="AC16" s="434">
        <v>320</v>
      </c>
      <c r="AE16" s="437">
        <f t="shared" si="10"/>
        <v>0.2191325745924331</v>
      </c>
      <c r="AF16" s="711">
        <f>AE16-AE86</f>
        <v>1.5197102984736366E-2</v>
      </c>
      <c r="AG16" s="440">
        <f t="shared" si="11"/>
        <v>0.19944632420793601</v>
      </c>
      <c r="AH16" s="438">
        <f t="shared" si="12"/>
        <v>1.9686250384497079E-2</v>
      </c>
      <c r="AI16" s="754">
        <f>AH16-AH86</f>
        <v>-8.9460206574728841E-3</v>
      </c>
      <c r="AK16" s="417" t="s">
        <v>17</v>
      </c>
      <c r="AL16" s="228"/>
      <c r="AM16" s="490">
        <f t="shared" si="1"/>
        <v>533</v>
      </c>
      <c r="AN16" s="491">
        <f t="shared" si="2"/>
        <v>773</v>
      </c>
      <c r="AO16" s="502">
        <f t="shared" si="3"/>
        <v>4.1737841097966744E-2</v>
      </c>
      <c r="AP16" s="511">
        <f>AO16-AO86</f>
        <v>2.9350787964515929E-2</v>
      </c>
      <c r="AQ16" s="437">
        <f t="shared" si="4"/>
        <v>1.0339015392443709</v>
      </c>
      <c r="AR16" s="526" t="s">
        <v>333</v>
      </c>
      <c r="AS16" s="539">
        <f>AQ16-AQ86</f>
        <v>2.0534641062909698E-2</v>
      </c>
      <c r="AT16" s="437">
        <f t="shared" si="5"/>
        <v>1.2771602724991036</v>
      </c>
      <c r="AU16" s="529" t="s">
        <v>336</v>
      </c>
      <c r="AV16" s="546">
        <f>AT16-AT86</f>
        <v>0.19826096370605728</v>
      </c>
    </row>
    <row r="17" spans="1:48" s="4" customFormat="1" ht="14" x14ac:dyDescent="0.3">
      <c r="A17" s="95" t="s">
        <v>7</v>
      </c>
      <c r="B17" s="140" t="s">
        <v>18</v>
      </c>
      <c r="D17" s="463">
        <v>5050</v>
      </c>
      <c r="E17" s="466">
        <v>797</v>
      </c>
      <c r="G17" s="437">
        <f t="shared" si="0"/>
        <v>0.15782178217821782</v>
      </c>
      <c r="H17" s="710">
        <f>G17-G86</f>
        <v>-3.3726636296028095E-2</v>
      </c>
      <c r="K17" s="417" t="s">
        <v>18</v>
      </c>
      <c r="M17" s="419">
        <v>5344</v>
      </c>
      <c r="N17" s="13">
        <f t="shared" si="6"/>
        <v>849</v>
      </c>
      <c r="O17" s="472">
        <v>751</v>
      </c>
      <c r="P17" s="473">
        <v>98</v>
      </c>
      <c r="R17" s="479">
        <f t="shared" si="7"/>
        <v>0.15886976047904192</v>
      </c>
      <c r="S17" s="745">
        <f>R17-R86</f>
        <v>-4.2506217757768638E-2</v>
      </c>
      <c r="T17" s="440">
        <f t="shared" si="8"/>
        <v>0.1405314371257485</v>
      </c>
      <c r="U17" s="438">
        <f t="shared" si="9"/>
        <v>1.8338323353293412E-2</v>
      </c>
      <c r="V17" s="704">
        <f>U17-U86</f>
        <v>-9.2082700486440308E-3</v>
      </c>
      <c r="X17" s="131" t="s">
        <v>18</v>
      </c>
      <c r="Z17" s="419">
        <v>5369</v>
      </c>
      <c r="AA17" s="426">
        <v>844</v>
      </c>
      <c r="AB17" s="423">
        <v>743</v>
      </c>
      <c r="AC17" s="434">
        <v>101</v>
      </c>
      <c r="AE17" s="437">
        <f t="shared" si="10"/>
        <v>0.15719873346991992</v>
      </c>
      <c r="AF17" s="711">
        <f>AE17-AE86</f>
        <v>-4.6736738137776818E-2</v>
      </c>
      <c r="AG17" s="440">
        <f t="shared" si="11"/>
        <v>0.13838703669212143</v>
      </c>
      <c r="AH17" s="438">
        <f t="shared" si="12"/>
        <v>1.8811696777798474E-2</v>
      </c>
      <c r="AI17" s="754">
        <f>AH17-AH86</f>
        <v>-9.8205742641714888E-3</v>
      </c>
      <c r="AK17" s="417" t="s">
        <v>18</v>
      </c>
      <c r="AL17" s="228"/>
      <c r="AM17" s="490">
        <f t="shared" si="1"/>
        <v>319</v>
      </c>
      <c r="AN17" s="491">
        <f t="shared" si="2"/>
        <v>47</v>
      </c>
      <c r="AO17" s="502">
        <f t="shared" si="3"/>
        <v>-6.2304870829790748E-4</v>
      </c>
      <c r="AP17" s="511">
        <f>AO17-AO86</f>
        <v>-1.3010101841748722E-2</v>
      </c>
      <c r="AQ17" s="437">
        <f t="shared" si="4"/>
        <v>1.0631683168316832</v>
      </c>
      <c r="AR17" s="524" t="s">
        <v>334</v>
      </c>
      <c r="AS17" s="539">
        <f>AQ17-AQ86</f>
        <v>4.9801418650222029E-2</v>
      </c>
      <c r="AT17" s="437">
        <f t="shared" si="5"/>
        <v>1.0589711417816814</v>
      </c>
      <c r="AU17" s="524" t="s">
        <v>334</v>
      </c>
      <c r="AV17" s="706">
        <f>AT17-AT86</f>
        <v>-1.9928167011364906E-2</v>
      </c>
    </row>
    <row r="18" spans="1:48" s="4" customFormat="1" ht="14" x14ac:dyDescent="0.3">
      <c r="A18" s="95" t="s">
        <v>7</v>
      </c>
      <c r="B18" s="140" t="s">
        <v>19</v>
      </c>
      <c r="D18" s="463">
        <v>17968</v>
      </c>
      <c r="E18" s="465">
        <v>1457</v>
      </c>
      <c r="G18" s="437">
        <f t="shared" si="0"/>
        <v>8.1088601959038289E-2</v>
      </c>
      <c r="H18" s="715">
        <f>G18-G86</f>
        <v>-0.11045981651520763</v>
      </c>
      <c r="K18" s="417" t="s">
        <v>19</v>
      </c>
      <c r="M18" s="419">
        <v>23147</v>
      </c>
      <c r="N18" s="13">
        <f t="shared" si="6"/>
        <v>1839</v>
      </c>
      <c r="O18" s="472">
        <v>1681</v>
      </c>
      <c r="P18" s="473">
        <v>158</v>
      </c>
      <c r="R18" s="479">
        <f t="shared" si="7"/>
        <v>7.9448740657536612E-2</v>
      </c>
      <c r="S18" s="747">
        <f>R18-R86</f>
        <v>-0.12192723757927394</v>
      </c>
      <c r="T18" s="440">
        <f t="shared" si="8"/>
        <v>7.2622802090983707E-2</v>
      </c>
      <c r="U18" s="438">
        <f t="shared" si="9"/>
        <v>6.8259385665529011E-3</v>
      </c>
      <c r="V18" s="704">
        <f>U18-U86</f>
        <v>-2.0720654835384541E-2</v>
      </c>
      <c r="X18" s="131" t="s">
        <v>19</v>
      </c>
      <c r="Z18" s="419">
        <v>23668</v>
      </c>
      <c r="AA18" s="425">
        <v>1905</v>
      </c>
      <c r="AB18" s="422">
        <v>1728</v>
      </c>
      <c r="AC18" s="434">
        <v>177</v>
      </c>
      <c r="AE18" s="437">
        <f t="shared" si="10"/>
        <v>8.0488423187426064E-2</v>
      </c>
      <c r="AF18" s="715">
        <f>AE18-AE86</f>
        <v>-0.12344704842027067</v>
      </c>
      <c r="AG18" s="440">
        <f t="shared" si="11"/>
        <v>7.3009971269224275E-2</v>
      </c>
      <c r="AH18" s="438">
        <f t="shared" si="12"/>
        <v>7.4784519182017912E-3</v>
      </c>
      <c r="AI18" s="754">
        <f>AH18-AH86</f>
        <v>-2.1153819123768174E-2</v>
      </c>
      <c r="AK18" s="417" t="s">
        <v>19</v>
      </c>
      <c r="AL18" s="228"/>
      <c r="AM18" s="490">
        <f t="shared" si="1"/>
        <v>5700</v>
      </c>
      <c r="AN18" s="491">
        <f t="shared" si="2"/>
        <v>448</v>
      </c>
      <c r="AO18" s="502">
        <f t="shared" si="3"/>
        <v>-6.0017877161222533E-4</v>
      </c>
      <c r="AP18" s="511">
        <f>AO18-AO86</f>
        <v>-1.298723190506304E-2</v>
      </c>
      <c r="AQ18" s="437">
        <f t="shared" si="4"/>
        <v>1.3172306322350846</v>
      </c>
      <c r="AR18" s="529" t="s">
        <v>336</v>
      </c>
      <c r="AS18" s="543">
        <f>AQ18-AQ86</f>
        <v>0.30386373405362344</v>
      </c>
      <c r="AT18" s="437">
        <f t="shared" si="5"/>
        <v>1.307481125600549</v>
      </c>
      <c r="AU18" s="529" t="s">
        <v>336</v>
      </c>
      <c r="AV18" s="545">
        <f>AT18-AT86</f>
        <v>0.22858181680750267</v>
      </c>
    </row>
    <row r="19" spans="1:48" s="4" customFormat="1" ht="14" x14ac:dyDescent="0.3">
      <c r="A19" s="95" t="s">
        <v>7</v>
      </c>
      <c r="B19" s="140" t="s">
        <v>20</v>
      </c>
      <c r="D19" s="463">
        <v>9864</v>
      </c>
      <c r="E19" s="465">
        <v>1314</v>
      </c>
      <c r="G19" s="437">
        <f t="shared" si="0"/>
        <v>0.13321167883211679</v>
      </c>
      <c r="H19" s="714">
        <f>G19-G86</f>
        <v>-5.8336739642129126E-2</v>
      </c>
      <c r="K19" s="417" t="s">
        <v>20</v>
      </c>
      <c r="M19" s="419">
        <v>11644</v>
      </c>
      <c r="N19" s="13">
        <f t="shared" si="6"/>
        <v>1561</v>
      </c>
      <c r="O19" s="472">
        <v>1364</v>
      </c>
      <c r="P19" s="473">
        <v>197</v>
      </c>
      <c r="R19" s="479">
        <f t="shared" si="7"/>
        <v>0.13406046032291308</v>
      </c>
      <c r="S19" s="746">
        <f>R19-R86</f>
        <v>-6.7315517913897477E-2</v>
      </c>
      <c r="T19" s="440">
        <f t="shared" si="8"/>
        <v>0.11714187564410855</v>
      </c>
      <c r="U19" s="438">
        <f t="shared" si="9"/>
        <v>1.6918584678804534E-2</v>
      </c>
      <c r="V19" s="704">
        <f>U19-U86</f>
        <v>-1.0628008723132909E-2</v>
      </c>
      <c r="X19" s="131" t="s">
        <v>20</v>
      </c>
      <c r="Z19" s="419">
        <v>11916</v>
      </c>
      <c r="AA19" s="425">
        <v>1613</v>
      </c>
      <c r="AB19" s="422">
        <v>1404</v>
      </c>
      <c r="AC19" s="434">
        <v>209</v>
      </c>
      <c r="AE19" s="437">
        <f t="shared" si="10"/>
        <v>0.13536421617992614</v>
      </c>
      <c r="AF19" s="714">
        <f>AE19-AE86</f>
        <v>-6.8571255427770594E-2</v>
      </c>
      <c r="AG19" s="440">
        <f t="shared" si="11"/>
        <v>0.11782477341389729</v>
      </c>
      <c r="AH19" s="438">
        <f t="shared" si="12"/>
        <v>1.7539442766028868E-2</v>
      </c>
      <c r="AI19" s="754">
        <f>AH19-AH86</f>
        <v>-1.1092828275941095E-2</v>
      </c>
      <c r="AK19" s="417" t="s">
        <v>20</v>
      </c>
      <c r="AL19" s="228"/>
      <c r="AM19" s="490">
        <f t="shared" si="1"/>
        <v>2052</v>
      </c>
      <c r="AN19" s="491">
        <f t="shared" si="2"/>
        <v>299</v>
      </c>
      <c r="AO19" s="502">
        <f t="shared" si="3"/>
        <v>2.1525373478093468E-3</v>
      </c>
      <c r="AP19" s="511">
        <f>AO19-AO86</f>
        <v>-1.0234515785641468E-2</v>
      </c>
      <c r="AQ19" s="437">
        <f t="shared" si="4"/>
        <v>1.2080291970802919</v>
      </c>
      <c r="AR19" s="529" t="s">
        <v>336</v>
      </c>
      <c r="AS19" s="542">
        <f>AQ19-AQ86</f>
        <v>0.19466229889883069</v>
      </c>
      <c r="AT19" s="437">
        <f t="shared" si="5"/>
        <v>1.2275494672754947</v>
      </c>
      <c r="AU19" s="529" t="s">
        <v>336</v>
      </c>
      <c r="AV19" s="546">
        <f>AT19-AT86</f>
        <v>0.14865015848244845</v>
      </c>
    </row>
    <row r="20" spans="1:48" s="4" customFormat="1" ht="14" x14ac:dyDescent="0.3">
      <c r="A20" s="95" t="s">
        <v>7</v>
      </c>
      <c r="B20" s="140" t="s">
        <v>21</v>
      </c>
      <c r="D20" s="463">
        <v>21711</v>
      </c>
      <c r="E20" s="465">
        <v>3174</v>
      </c>
      <c r="G20" s="437">
        <f t="shared" si="0"/>
        <v>0.14619317396711345</v>
      </c>
      <c r="H20" s="710">
        <f>G20-G86</f>
        <v>-4.5355244507132464E-2</v>
      </c>
      <c r="K20" s="417" t="s">
        <v>21</v>
      </c>
      <c r="M20" s="419">
        <v>25571</v>
      </c>
      <c r="N20" s="13">
        <f t="shared" si="6"/>
        <v>3570</v>
      </c>
      <c r="O20" s="472">
        <v>3124</v>
      </c>
      <c r="P20" s="473">
        <v>446</v>
      </c>
      <c r="R20" s="479">
        <f t="shared" si="7"/>
        <v>0.13961127840131399</v>
      </c>
      <c r="S20" s="746">
        <f>R20-R86</f>
        <v>-6.1764699835496567E-2</v>
      </c>
      <c r="T20" s="440">
        <f t="shared" si="8"/>
        <v>0.12216964530131789</v>
      </c>
      <c r="U20" s="438">
        <f t="shared" si="9"/>
        <v>1.7441633099996089E-2</v>
      </c>
      <c r="V20" s="704">
        <f>U20-U86</f>
        <v>-1.0104960301941354E-2</v>
      </c>
      <c r="X20" s="131" t="s">
        <v>21</v>
      </c>
      <c r="Z20" s="419">
        <v>25897</v>
      </c>
      <c r="AA20" s="425">
        <v>3678</v>
      </c>
      <c r="AB20" s="422">
        <v>3218</v>
      </c>
      <c r="AC20" s="434">
        <v>460</v>
      </c>
      <c r="AE20" s="437">
        <f t="shared" si="10"/>
        <v>0.14202417268409467</v>
      </c>
      <c r="AF20" s="714">
        <f>AE20-AE86</f>
        <v>-6.1911298923602059E-2</v>
      </c>
      <c r="AG20" s="440">
        <f t="shared" si="11"/>
        <v>0.12426149747074951</v>
      </c>
      <c r="AH20" s="438">
        <f t="shared" si="12"/>
        <v>1.7762675213345173E-2</v>
      </c>
      <c r="AI20" s="754">
        <f>AH20-AH86</f>
        <v>-1.086959582862479E-2</v>
      </c>
      <c r="AK20" s="417" t="s">
        <v>21</v>
      </c>
      <c r="AL20" s="228"/>
      <c r="AM20" s="490">
        <f t="shared" si="1"/>
        <v>4186</v>
      </c>
      <c r="AN20" s="491">
        <f t="shared" si="2"/>
        <v>504</v>
      </c>
      <c r="AO20" s="502">
        <f t="shared" si="3"/>
        <v>-4.1690012830187806E-3</v>
      </c>
      <c r="AP20" s="511">
        <f>AO20-AO86</f>
        <v>-1.6556054416469596E-2</v>
      </c>
      <c r="AQ20" s="437">
        <f t="shared" si="4"/>
        <v>1.192805490304454</v>
      </c>
      <c r="AR20" s="530" t="s">
        <v>335</v>
      </c>
      <c r="AS20" s="542">
        <f>AQ20-AQ86</f>
        <v>0.17943859212299285</v>
      </c>
      <c r="AT20" s="437">
        <f t="shared" si="5"/>
        <v>1.1587901701323251</v>
      </c>
      <c r="AU20" s="530" t="s">
        <v>335</v>
      </c>
      <c r="AV20" s="705">
        <f>AT20-AT86</f>
        <v>7.9890861339278807E-2</v>
      </c>
    </row>
    <row r="21" spans="1:48" s="4" customFormat="1" ht="14" x14ac:dyDescent="0.3">
      <c r="A21" s="95" t="s">
        <v>7</v>
      </c>
      <c r="B21" s="140" t="s">
        <v>22</v>
      </c>
      <c r="D21" s="463">
        <v>448758</v>
      </c>
      <c r="E21" s="465">
        <v>79885</v>
      </c>
      <c r="G21" s="437">
        <f t="shared" si="0"/>
        <v>0.17801353959149474</v>
      </c>
      <c r="H21" s="710">
        <f>G21-G86</f>
        <v>-1.3534878882751178E-2</v>
      </c>
      <c r="K21" s="417" t="s">
        <v>22</v>
      </c>
      <c r="M21" s="419">
        <v>458373</v>
      </c>
      <c r="N21" s="13">
        <f t="shared" si="6"/>
        <v>84566</v>
      </c>
      <c r="O21" s="472">
        <v>72901</v>
      </c>
      <c r="P21" s="473">
        <v>11665</v>
      </c>
      <c r="R21" s="479">
        <f t="shared" si="7"/>
        <v>0.18449166944824411</v>
      </c>
      <c r="S21" s="745">
        <f>R21-R86</f>
        <v>-1.6884308788566449E-2</v>
      </c>
      <c r="T21" s="440">
        <f t="shared" si="8"/>
        <v>0.15904296282721714</v>
      </c>
      <c r="U21" s="438">
        <f t="shared" si="9"/>
        <v>2.5448706621026981E-2</v>
      </c>
      <c r="V21" s="704">
        <f>U21-U86</f>
        <v>-2.0978867809104615E-3</v>
      </c>
      <c r="X21" s="131" t="s">
        <v>22</v>
      </c>
      <c r="Z21" s="419">
        <v>461346</v>
      </c>
      <c r="AA21" s="425">
        <v>85814</v>
      </c>
      <c r="AB21" s="422">
        <v>73446</v>
      </c>
      <c r="AC21" s="435">
        <v>12368</v>
      </c>
      <c r="AE21" s="437">
        <f t="shared" si="10"/>
        <v>0.18600789862706082</v>
      </c>
      <c r="AF21" s="710">
        <f>AE21-AE86</f>
        <v>-1.7927572980635909E-2</v>
      </c>
      <c r="AG21" s="440">
        <f t="shared" si="11"/>
        <v>0.15919938614402207</v>
      </c>
      <c r="AH21" s="438">
        <f t="shared" si="12"/>
        <v>2.6808512483038761E-2</v>
      </c>
      <c r="AI21" s="754">
        <f>AH21-AH86</f>
        <v>-1.8237585589312016E-3</v>
      </c>
      <c r="AK21" s="417" t="s">
        <v>22</v>
      </c>
      <c r="AL21" s="228"/>
      <c r="AM21" s="490">
        <f t="shared" si="1"/>
        <v>12588</v>
      </c>
      <c r="AN21" s="491">
        <f t="shared" si="2"/>
        <v>5929</v>
      </c>
      <c r="AO21" s="502">
        <f t="shared" si="3"/>
        <v>7.9943590355660843E-3</v>
      </c>
      <c r="AP21" s="511">
        <f>AO21-AO86</f>
        <v>-4.3926940978847306E-3</v>
      </c>
      <c r="AQ21" s="437">
        <f t="shared" si="4"/>
        <v>1.0280507534127525</v>
      </c>
      <c r="AR21" s="526" t="s">
        <v>333</v>
      </c>
      <c r="AS21" s="539">
        <f>AQ21-AQ86</f>
        <v>1.4683855231291343E-2</v>
      </c>
      <c r="AT21" s="437">
        <f t="shared" si="5"/>
        <v>1.0742191900857483</v>
      </c>
      <c r="AU21" s="524" t="s">
        <v>334</v>
      </c>
      <c r="AV21" s="706">
        <f>AT21-AT86</f>
        <v>-4.6801187072980088E-3</v>
      </c>
    </row>
    <row r="22" spans="1:48" s="4" customFormat="1" ht="14" x14ac:dyDescent="0.3">
      <c r="A22" s="95" t="s">
        <v>7</v>
      </c>
      <c r="B22" s="140" t="s">
        <v>23</v>
      </c>
      <c r="D22" s="463">
        <v>19784</v>
      </c>
      <c r="E22" s="465">
        <v>2525</v>
      </c>
      <c r="G22" s="437">
        <f t="shared" si="0"/>
        <v>0.12762838657501011</v>
      </c>
      <c r="H22" s="714">
        <f>G22-G86</f>
        <v>-6.3920031899235813E-2</v>
      </c>
      <c r="K22" s="417" t="s">
        <v>23</v>
      </c>
      <c r="M22" s="419">
        <v>22481</v>
      </c>
      <c r="N22" s="13">
        <f t="shared" si="6"/>
        <v>3135</v>
      </c>
      <c r="O22" s="472">
        <v>2812</v>
      </c>
      <c r="P22" s="473">
        <v>323</v>
      </c>
      <c r="R22" s="479">
        <f t="shared" si="7"/>
        <v>0.13945109203327255</v>
      </c>
      <c r="S22" s="746">
        <f>R22-R86</f>
        <v>-6.1924886203538004E-2</v>
      </c>
      <c r="T22" s="440">
        <f t="shared" si="8"/>
        <v>0.12508340376317781</v>
      </c>
      <c r="U22" s="438">
        <f t="shared" si="9"/>
        <v>1.4367688270094747E-2</v>
      </c>
      <c r="V22" s="704">
        <f>U22-U86</f>
        <v>-1.3178905131842696E-2</v>
      </c>
      <c r="X22" s="131" t="s">
        <v>23</v>
      </c>
      <c r="Z22" s="419">
        <v>22899</v>
      </c>
      <c r="AA22" s="425">
        <v>3244</v>
      </c>
      <c r="AB22" s="422">
        <v>2899</v>
      </c>
      <c r="AC22" s="434">
        <v>345</v>
      </c>
      <c r="AE22" s="437">
        <f t="shared" si="10"/>
        <v>0.14166557491593521</v>
      </c>
      <c r="AF22" s="714">
        <f>AE22-AE86</f>
        <v>-6.2269896691761528E-2</v>
      </c>
      <c r="AG22" s="440">
        <f t="shared" si="11"/>
        <v>0.12659941482160794</v>
      </c>
      <c r="AH22" s="438">
        <f t="shared" si="12"/>
        <v>1.5066160094327263E-2</v>
      </c>
      <c r="AI22" s="754">
        <f>AH22-AH86</f>
        <v>-1.35661109476427E-2</v>
      </c>
      <c r="AK22" s="417" t="s">
        <v>23</v>
      </c>
      <c r="AL22" s="228"/>
      <c r="AM22" s="490">
        <f t="shared" si="1"/>
        <v>3115</v>
      </c>
      <c r="AN22" s="491">
        <f t="shared" si="2"/>
        <v>719</v>
      </c>
      <c r="AO22" s="502">
        <f t="shared" si="3"/>
        <v>1.40371883409251E-2</v>
      </c>
      <c r="AP22" s="511">
        <f>AO22-AO86</f>
        <v>1.6501352074742848E-3</v>
      </c>
      <c r="AQ22" s="437">
        <f t="shared" si="4"/>
        <v>1.1574504650222401</v>
      </c>
      <c r="AR22" s="530" t="s">
        <v>335</v>
      </c>
      <c r="AS22" s="542">
        <f>AQ22-AQ86</f>
        <v>0.14408356684077894</v>
      </c>
      <c r="AT22" s="437">
        <f t="shared" si="5"/>
        <v>1.2847524752475248</v>
      </c>
      <c r="AU22" s="529" t="s">
        <v>336</v>
      </c>
      <c r="AV22" s="545">
        <f>AT22-AT86</f>
        <v>0.20585316645447849</v>
      </c>
    </row>
    <row r="23" spans="1:48" s="4" customFormat="1" ht="14" x14ac:dyDescent="0.3">
      <c r="A23" s="95" t="s">
        <v>24</v>
      </c>
      <c r="B23" s="140" t="s">
        <v>25</v>
      </c>
      <c r="D23" s="463">
        <v>9580</v>
      </c>
      <c r="E23" s="465">
        <v>2029</v>
      </c>
      <c r="G23" s="437">
        <f t="shared" si="0"/>
        <v>0.21179540709812109</v>
      </c>
      <c r="H23" s="711">
        <f>G23-G86</f>
        <v>2.0246988623875167E-2</v>
      </c>
      <c r="K23" s="417" t="s">
        <v>25</v>
      </c>
      <c r="M23" s="419">
        <v>9758</v>
      </c>
      <c r="N23" s="13">
        <f t="shared" si="6"/>
        <v>2251</v>
      </c>
      <c r="O23" s="472">
        <v>2004</v>
      </c>
      <c r="P23" s="473">
        <v>247</v>
      </c>
      <c r="R23" s="479">
        <f t="shared" si="7"/>
        <v>0.23068251690920272</v>
      </c>
      <c r="S23" s="741">
        <f>R23-R86</f>
        <v>2.9306538672392163E-2</v>
      </c>
      <c r="T23" s="440">
        <f t="shared" si="8"/>
        <v>0.20536995285919246</v>
      </c>
      <c r="U23" s="438">
        <f t="shared" si="9"/>
        <v>2.5312564050010249E-2</v>
      </c>
      <c r="V23" s="704">
        <f>U23-U86</f>
        <v>-2.2340293519271942E-3</v>
      </c>
      <c r="X23" s="131" t="s">
        <v>25</v>
      </c>
      <c r="Z23" s="419">
        <v>9758</v>
      </c>
      <c r="AA23" s="425">
        <v>2286</v>
      </c>
      <c r="AB23" s="422">
        <v>2026</v>
      </c>
      <c r="AC23" s="434">
        <v>260</v>
      </c>
      <c r="AE23" s="437">
        <f t="shared" si="10"/>
        <v>0.23426931748309079</v>
      </c>
      <c r="AF23" s="711">
        <f>AE23-AE86</f>
        <v>3.0333845875394061E-2</v>
      </c>
      <c r="AG23" s="440">
        <f t="shared" si="11"/>
        <v>0.20762451321992212</v>
      </c>
      <c r="AH23" s="438">
        <f t="shared" si="12"/>
        <v>2.6644804263168682E-2</v>
      </c>
      <c r="AI23" s="754">
        <f>AH23-AH86</f>
        <v>-1.9874667788012806E-3</v>
      </c>
      <c r="AK23" s="417" t="s">
        <v>25</v>
      </c>
      <c r="AL23" s="228"/>
      <c r="AM23" s="490">
        <f t="shared" si="1"/>
        <v>178</v>
      </c>
      <c r="AN23" s="491">
        <f t="shared" si="2"/>
        <v>257</v>
      </c>
      <c r="AO23" s="502">
        <f t="shared" si="3"/>
        <v>2.2473910384969709E-2</v>
      </c>
      <c r="AP23" s="511">
        <f>AO23-AO86</f>
        <v>1.0086857251518894E-2</v>
      </c>
      <c r="AQ23" s="437">
        <f t="shared" si="4"/>
        <v>1.0185803757828811</v>
      </c>
      <c r="AR23" s="526" t="s">
        <v>333</v>
      </c>
      <c r="AS23" s="539">
        <f>AQ23-AQ86</f>
        <v>5.2134776014198803E-3</v>
      </c>
      <c r="AT23" s="437">
        <f t="shared" si="5"/>
        <v>1.1266633809758502</v>
      </c>
      <c r="AU23" s="530" t="s">
        <v>335</v>
      </c>
      <c r="AV23" s="704">
        <f>AT23-AT86</f>
        <v>4.7764072182803874E-2</v>
      </c>
    </row>
    <row r="24" spans="1:48" s="4" customFormat="1" ht="14" x14ac:dyDescent="0.3">
      <c r="A24" s="95" t="s">
        <v>26</v>
      </c>
      <c r="B24" s="140" t="s">
        <v>27</v>
      </c>
      <c r="D24" s="463">
        <v>4929</v>
      </c>
      <c r="E24" s="465">
        <v>1118</v>
      </c>
      <c r="G24" s="437">
        <f t="shared" si="0"/>
        <v>0.22682085615743558</v>
      </c>
      <c r="H24" s="711">
        <f>G24-G86</f>
        <v>3.5272437683189661E-2</v>
      </c>
      <c r="K24" s="417" t="s">
        <v>27</v>
      </c>
      <c r="M24" s="419">
        <v>4678</v>
      </c>
      <c r="N24" s="13">
        <f t="shared" si="6"/>
        <v>1115</v>
      </c>
      <c r="O24" s="472">
        <v>946</v>
      </c>
      <c r="P24" s="473">
        <v>169</v>
      </c>
      <c r="R24" s="479">
        <f t="shared" si="7"/>
        <v>0.23834972210346303</v>
      </c>
      <c r="S24" s="741">
        <f>R24-R86</f>
        <v>3.6973743866652475E-2</v>
      </c>
      <c r="T24" s="440">
        <f t="shared" si="8"/>
        <v>0.20222317229585293</v>
      </c>
      <c r="U24" s="438">
        <f t="shared" si="9"/>
        <v>3.6126549807610091E-2</v>
      </c>
      <c r="V24" s="706">
        <f>U24-U86</f>
        <v>8.5799564056726479E-3</v>
      </c>
      <c r="X24" s="131" t="s">
        <v>27</v>
      </c>
      <c r="Z24" s="419">
        <v>4570</v>
      </c>
      <c r="AA24" s="425">
        <v>1129</v>
      </c>
      <c r="AB24" s="423">
        <v>957</v>
      </c>
      <c r="AC24" s="434">
        <v>172</v>
      </c>
      <c r="AE24" s="437">
        <f t="shared" si="10"/>
        <v>0.24704595185995623</v>
      </c>
      <c r="AF24" s="711">
        <f>AE24-AE86</f>
        <v>4.3110480252259498E-2</v>
      </c>
      <c r="AG24" s="440">
        <f t="shared" si="11"/>
        <v>0.20940919037199124</v>
      </c>
      <c r="AH24" s="438">
        <f t="shared" si="12"/>
        <v>3.7636761487964986E-2</v>
      </c>
      <c r="AI24" s="752">
        <f>AH24-AH86</f>
        <v>9.0044904459950226E-3</v>
      </c>
      <c r="AK24" s="417" t="s">
        <v>27</v>
      </c>
      <c r="AL24" s="228"/>
      <c r="AM24" s="490">
        <f t="shared" si="1"/>
        <v>-359</v>
      </c>
      <c r="AN24" s="491">
        <f t="shared" si="2"/>
        <v>11</v>
      </c>
      <c r="AO24" s="502">
        <f t="shared" si="3"/>
        <v>2.0225095702520651E-2</v>
      </c>
      <c r="AP24" s="511">
        <f>AO24-AO86</f>
        <v>7.8380425690698363E-3</v>
      </c>
      <c r="AQ24" s="437">
        <f t="shared" si="4"/>
        <v>0.92716575370257659</v>
      </c>
      <c r="AR24" s="531" t="s">
        <v>339</v>
      </c>
      <c r="AS24" s="536">
        <f>AQ24-AQ86</f>
        <v>-8.6201144478884606E-2</v>
      </c>
      <c r="AT24" s="437">
        <f t="shared" si="5"/>
        <v>1.0098389982110911</v>
      </c>
      <c r="AU24" s="526" t="s">
        <v>333</v>
      </c>
      <c r="AV24" s="707">
        <f>AT24-AT86</f>
        <v>-6.9060310581955164E-2</v>
      </c>
    </row>
    <row r="25" spans="1:48" s="4" customFormat="1" ht="14" x14ac:dyDescent="0.3">
      <c r="A25" s="95" t="s">
        <v>26</v>
      </c>
      <c r="B25" s="140" t="s">
        <v>28</v>
      </c>
      <c r="D25" s="463">
        <v>11645</v>
      </c>
      <c r="E25" s="465">
        <v>2823</v>
      </c>
      <c r="G25" s="437">
        <f t="shared" si="0"/>
        <v>0.24242164018892229</v>
      </c>
      <c r="H25" s="713">
        <f>G25-G86</f>
        <v>5.087322171467637E-2</v>
      </c>
      <c r="K25" s="417" t="s">
        <v>28</v>
      </c>
      <c r="M25" s="419">
        <v>11459</v>
      </c>
      <c r="N25" s="13">
        <f t="shared" si="6"/>
        <v>2958</v>
      </c>
      <c r="O25" s="472">
        <v>2518</v>
      </c>
      <c r="P25" s="473">
        <v>440</v>
      </c>
      <c r="R25" s="479">
        <f t="shared" si="7"/>
        <v>0.25813770835151412</v>
      </c>
      <c r="S25" s="743">
        <f>R25-R86</f>
        <v>5.6761730114703562E-2</v>
      </c>
      <c r="T25" s="440">
        <f t="shared" si="8"/>
        <v>0.21973994240335107</v>
      </c>
      <c r="U25" s="438">
        <f t="shared" si="9"/>
        <v>3.8397765948163014E-2</v>
      </c>
      <c r="V25" s="706">
        <f>U25-U86</f>
        <v>1.0851172546225571E-2</v>
      </c>
      <c r="X25" s="131" t="s">
        <v>28</v>
      </c>
      <c r="Z25" s="419">
        <v>11538</v>
      </c>
      <c r="AA25" s="425">
        <v>3059</v>
      </c>
      <c r="AB25" s="422">
        <v>2600</v>
      </c>
      <c r="AC25" s="434">
        <v>459</v>
      </c>
      <c r="AE25" s="437">
        <f t="shared" si="10"/>
        <v>0.26512393829086495</v>
      </c>
      <c r="AF25" s="713">
        <f>AE25-AE86</f>
        <v>6.1188466683168213E-2</v>
      </c>
      <c r="AG25" s="440">
        <f t="shared" si="11"/>
        <v>0.22534234702721442</v>
      </c>
      <c r="AH25" s="438">
        <f t="shared" si="12"/>
        <v>3.9781591263650544E-2</v>
      </c>
      <c r="AI25" s="752">
        <f>AH25-AH86</f>
        <v>1.1149320221680581E-2</v>
      </c>
      <c r="AK25" s="417" t="s">
        <v>28</v>
      </c>
      <c r="AL25" s="228"/>
      <c r="AM25" s="490">
        <f t="shared" si="1"/>
        <v>-107</v>
      </c>
      <c r="AN25" s="491">
        <f t="shared" si="2"/>
        <v>236</v>
      </c>
      <c r="AO25" s="502">
        <f t="shared" si="3"/>
        <v>2.2702298101942658E-2</v>
      </c>
      <c r="AP25" s="511">
        <f>AO25-AO86</f>
        <v>1.0315244968491843E-2</v>
      </c>
      <c r="AQ25" s="437">
        <f t="shared" si="4"/>
        <v>0.99081150708458565</v>
      </c>
      <c r="AR25" s="528" t="s">
        <v>337</v>
      </c>
      <c r="AS25" s="535">
        <f>AQ25-AQ86</f>
        <v>-2.2555391096875543E-2</v>
      </c>
      <c r="AT25" s="437">
        <f t="shared" si="5"/>
        <v>1.083599008147361</v>
      </c>
      <c r="AU25" s="524" t="s">
        <v>334</v>
      </c>
      <c r="AV25" s="704">
        <f>AT25-AT86</f>
        <v>4.6996993543146903E-3</v>
      </c>
    </row>
    <row r="26" spans="1:48" s="4" customFormat="1" ht="14" x14ac:dyDescent="0.3">
      <c r="A26" s="95" t="s">
        <v>26</v>
      </c>
      <c r="B26" s="140" t="s">
        <v>29</v>
      </c>
      <c r="D26" s="463">
        <v>35395</v>
      </c>
      <c r="E26" s="465">
        <v>7839</v>
      </c>
      <c r="G26" s="437">
        <f t="shared" si="0"/>
        <v>0.2214719593162876</v>
      </c>
      <c r="H26" s="711">
        <f>G26-G86</f>
        <v>2.9923540842041685E-2</v>
      </c>
      <c r="K26" s="417" t="s">
        <v>29</v>
      </c>
      <c r="M26" s="419">
        <v>32296</v>
      </c>
      <c r="N26" s="13">
        <f t="shared" si="6"/>
        <v>8679</v>
      </c>
      <c r="O26" s="472">
        <v>7542</v>
      </c>
      <c r="P26" s="473">
        <v>1137</v>
      </c>
      <c r="R26" s="479">
        <f t="shared" si="7"/>
        <v>0.26873297002724794</v>
      </c>
      <c r="S26" s="743">
        <f>R26-R86</f>
        <v>6.7356991790437387E-2</v>
      </c>
      <c r="T26" s="440">
        <f t="shared" si="8"/>
        <v>0.23352737181075056</v>
      </c>
      <c r="U26" s="438">
        <f t="shared" si="9"/>
        <v>3.5205598216497401E-2</v>
      </c>
      <c r="V26" s="706">
        <f>U26-U86</f>
        <v>7.6590048145599582E-3</v>
      </c>
      <c r="X26" s="131" t="s">
        <v>29</v>
      </c>
      <c r="Z26" s="419">
        <v>31957</v>
      </c>
      <c r="AA26" s="425">
        <v>8831</v>
      </c>
      <c r="AB26" s="422">
        <v>7614</v>
      </c>
      <c r="AC26" s="435">
        <v>1217</v>
      </c>
      <c r="AE26" s="437">
        <f t="shared" si="10"/>
        <v>0.27634008198516757</v>
      </c>
      <c r="AF26" s="713">
        <f>AE26-AE86</f>
        <v>7.240461037747084E-2</v>
      </c>
      <c r="AG26" s="440">
        <f t="shared" si="11"/>
        <v>0.23825765872891699</v>
      </c>
      <c r="AH26" s="438">
        <f t="shared" si="12"/>
        <v>3.8082423256250587E-2</v>
      </c>
      <c r="AI26" s="752">
        <f>AH26-AH86</f>
        <v>9.4501522142806244E-3</v>
      </c>
      <c r="AK26" s="417" t="s">
        <v>29</v>
      </c>
      <c r="AL26" s="228"/>
      <c r="AM26" s="490">
        <f t="shared" si="1"/>
        <v>-3438</v>
      </c>
      <c r="AN26" s="491">
        <f t="shared" si="2"/>
        <v>992</v>
      </c>
      <c r="AO26" s="502">
        <f t="shared" si="3"/>
        <v>5.4868122668879971E-2</v>
      </c>
      <c r="AP26" s="511">
        <f>AO26-AO86</f>
        <v>4.2481069535429156E-2</v>
      </c>
      <c r="AQ26" s="437">
        <f t="shared" si="4"/>
        <v>0.90286763667184633</v>
      </c>
      <c r="AR26" s="531" t="s">
        <v>339</v>
      </c>
      <c r="AS26" s="538">
        <f>AQ26-AQ86</f>
        <v>-0.11049926150961487</v>
      </c>
      <c r="AT26" s="437">
        <f t="shared" si="5"/>
        <v>1.1265467534124252</v>
      </c>
      <c r="AU26" s="530" t="s">
        <v>335</v>
      </c>
      <c r="AV26" s="704">
        <f>AT26-AT86</f>
        <v>4.7647444619378865E-2</v>
      </c>
    </row>
    <row r="27" spans="1:48" s="4" customFormat="1" ht="14" x14ac:dyDescent="0.3">
      <c r="A27" s="95" t="s">
        <v>26</v>
      </c>
      <c r="B27" s="140" t="s">
        <v>30</v>
      </c>
      <c r="D27" s="463">
        <v>8942</v>
      </c>
      <c r="E27" s="465">
        <v>2390</v>
      </c>
      <c r="G27" s="437">
        <f t="shared" si="0"/>
        <v>0.26727801386714384</v>
      </c>
      <c r="H27" s="713">
        <f>G27-G86</f>
        <v>7.5729595392897919E-2</v>
      </c>
      <c r="K27" s="417" t="s">
        <v>30</v>
      </c>
      <c r="M27" s="419">
        <v>8188</v>
      </c>
      <c r="N27" s="13">
        <f t="shared" si="6"/>
        <v>2414</v>
      </c>
      <c r="O27" s="472">
        <v>2068</v>
      </c>
      <c r="P27" s="473">
        <v>346</v>
      </c>
      <c r="R27" s="479">
        <f t="shared" si="7"/>
        <v>0.29482169027845628</v>
      </c>
      <c r="S27" s="743">
        <f>R27-R86</f>
        <v>9.3445712041645729E-2</v>
      </c>
      <c r="T27" s="440">
        <f t="shared" si="8"/>
        <v>0.25256472887151932</v>
      </c>
      <c r="U27" s="438">
        <f t="shared" si="9"/>
        <v>4.225696140693698E-2</v>
      </c>
      <c r="V27" s="706">
        <f>U27-U86</f>
        <v>1.4710368004999537E-2</v>
      </c>
      <c r="X27" s="131" t="s">
        <v>30</v>
      </c>
      <c r="Z27" s="419">
        <v>8090</v>
      </c>
      <c r="AA27" s="425">
        <v>2435</v>
      </c>
      <c r="AB27" s="422">
        <v>2096</v>
      </c>
      <c r="AC27" s="434">
        <v>339</v>
      </c>
      <c r="AE27" s="437">
        <f t="shared" si="10"/>
        <v>0.30098887515451173</v>
      </c>
      <c r="AF27" s="713">
        <f>AE27-AE86</f>
        <v>9.7053403546814992E-2</v>
      </c>
      <c r="AG27" s="440">
        <f t="shared" si="11"/>
        <v>0.25908529048207662</v>
      </c>
      <c r="AH27" s="438">
        <f t="shared" si="12"/>
        <v>4.1903584672435108E-2</v>
      </c>
      <c r="AI27" s="752">
        <f>AH27-AH86</f>
        <v>1.3271313630465145E-2</v>
      </c>
      <c r="AK27" s="417" t="s">
        <v>30</v>
      </c>
      <c r="AL27" s="228"/>
      <c r="AM27" s="490">
        <f t="shared" si="1"/>
        <v>-852</v>
      </c>
      <c r="AN27" s="491">
        <f t="shared" si="2"/>
        <v>45</v>
      </c>
      <c r="AO27" s="502">
        <f t="shared" si="3"/>
        <v>3.3710861287367888E-2</v>
      </c>
      <c r="AP27" s="511">
        <f>AO27-AO86</f>
        <v>2.1323808153917073E-2</v>
      </c>
      <c r="AQ27" s="437">
        <f t="shared" si="4"/>
        <v>0.904719302169537</v>
      </c>
      <c r="AR27" s="531" t="s">
        <v>339</v>
      </c>
      <c r="AS27" s="538">
        <f>AQ27-AQ86</f>
        <v>-0.1086475960119242</v>
      </c>
      <c r="AT27" s="437">
        <f t="shared" si="5"/>
        <v>1.0188284518828452</v>
      </c>
      <c r="AU27" s="526" t="s">
        <v>333</v>
      </c>
      <c r="AV27" s="707">
        <f>AT27-AT86</f>
        <v>-6.0070856910201087E-2</v>
      </c>
    </row>
    <row r="28" spans="1:48" s="4" customFormat="1" ht="14" x14ac:dyDescent="0.3">
      <c r="A28" s="95" t="s">
        <v>26</v>
      </c>
      <c r="B28" s="140" t="s">
        <v>31</v>
      </c>
      <c r="D28" s="463">
        <v>58610</v>
      </c>
      <c r="E28" s="465">
        <v>13167</v>
      </c>
      <c r="G28" s="437">
        <f t="shared" si="0"/>
        <v>0.22465449581982597</v>
      </c>
      <c r="H28" s="711">
        <f>G28-G86</f>
        <v>3.3106077345580048E-2</v>
      </c>
      <c r="K28" s="417" t="s">
        <v>31</v>
      </c>
      <c r="M28" s="419">
        <v>53625</v>
      </c>
      <c r="N28" s="13">
        <f t="shared" si="6"/>
        <v>14083</v>
      </c>
      <c r="O28" s="472">
        <v>12299</v>
      </c>
      <c r="P28" s="473">
        <v>1784</v>
      </c>
      <c r="R28" s="479">
        <f t="shared" si="7"/>
        <v>0.26262004662004662</v>
      </c>
      <c r="S28" s="743">
        <f>R28-R86</f>
        <v>6.1244068383236067E-2</v>
      </c>
      <c r="T28" s="440">
        <f t="shared" si="8"/>
        <v>0.22935198135198134</v>
      </c>
      <c r="U28" s="438">
        <f t="shared" si="9"/>
        <v>3.3268065268065271E-2</v>
      </c>
      <c r="V28" s="706">
        <f>U28-U86</f>
        <v>5.721471866127828E-3</v>
      </c>
      <c r="X28" s="131" t="s">
        <v>31</v>
      </c>
      <c r="Z28" s="419">
        <v>52894</v>
      </c>
      <c r="AA28" s="425">
        <v>14405</v>
      </c>
      <c r="AB28" s="422">
        <v>12490</v>
      </c>
      <c r="AC28" s="435">
        <v>1915</v>
      </c>
      <c r="AE28" s="437">
        <f t="shared" si="10"/>
        <v>0.27233712708435737</v>
      </c>
      <c r="AF28" s="713">
        <f>AE28-AE86</f>
        <v>6.8401655476660633E-2</v>
      </c>
      <c r="AG28" s="440">
        <f t="shared" si="11"/>
        <v>0.23613264264377812</v>
      </c>
      <c r="AH28" s="438">
        <f t="shared" si="12"/>
        <v>3.620448444057927E-2</v>
      </c>
      <c r="AI28" s="752">
        <f>AH28-AH86</f>
        <v>7.5722133986093065E-3</v>
      </c>
      <c r="AK28" s="417" t="s">
        <v>31</v>
      </c>
      <c r="AL28" s="228"/>
      <c r="AM28" s="490">
        <f t="shared" si="1"/>
        <v>-5716</v>
      </c>
      <c r="AN28" s="491">
        <f t="shared" si="2"/>
        <v>1238</v>
      </c>
      <c r="AO28" s="502">
        <f t="shared" si="3"/>
        <v>4.76826312645314E-2</v>
      </c>
      <c r="AP28" s="511">
        <f>AO28-AO86</f>
        <v>3.5295578131080585E-2</v>
      </c>
      <c r="AQ28" s="437">
        <f t="shared" si="4"/>
        <v>0.90247398054939432</v>
      </c>
      <c r="AR28" s="531" t="s">
        <v>339</v>
      </c>
      <c r="AS28" s="538">
        <f>AQ28-AQ86</f>
        <v>-0.11089291763206688</v>
      </c>
      <c r="AT28" s="437">
        <f t="shared" si="5"/>
        <v>1.0940229361281992</v>
      </c>
      <c r="AU28" s="524" t="s">
        <v>334</v>
      </c>
      <c r="AV28" s="704">
        <f>AT28-AT86</f>
        <v>1.5123627335152934E-2</v>
      </c>
    </row>
    <row r="29" spans="1:48" s="4" customFormat="1" ht="14" x14ac:dyDescent="0.3">
      <c r="A29" s="95" t="s">
        <v>26</v>
      </c>
      <c r="B29" s="140" t="s">
        <v>32</v>
      </c>
      <c r="D29" s="463">
        <v>4828</v>
      </c>
      <c r="E29" s="465">
        <v>1088</v>
      </c>
      <c r="G29" s="437">
        <f t="shared" si="0"/>
        <v>0.22535211267605634</v>
      </c>
      <c r="H29" s="711">
        <f>G29-G86</f>
        <v>3.3803694201810425E-2</v>
      </c>
      <c r="K29" s="417" t="s">
        <v>32</v>
      </c>
      <c r="M29" s="419">
        <v>4773</v>
      </c>
      <c r="N29" s="13">
        <f t="shared" si="6"/>
        <v>1255</v>
      </c>
      <c r="O29" s="472">
        <v>1102</v>
      </c>
      <c r="P29" s="473">
        <v>153</v>
      </c>
      <c r="R29" s="479">
        <f t="shared" si="7"/>
        <v>0.2629373559606118</v>
      </c>
      <c r="S29" s="743">
        <f>R29-R86</f>
        <v>6.1561377723801242E-2</v>
      </c>
      <c r="T29" s="440">
        <f t="shared" si="8"/>
        <v>0.23088204483553321</v>
      </c>
      <c r="U29" s="438">
        <f t="shared" si="9"/>
        <v>3.2055311125078569E-2</v>
      </c>
      <c r="V29" s="706">
        <f>U29-U86</f>
        <v>4.5087177231411257E-3</v>
      </c>
      <c r="X29" s="131" t="s">
        <v>32</v>
      </c>
      <c r="Z29" s="419">
        <v>4779</v>
      </c>
      <c r="AA29" s="425">
        <v>1306</v>
      </c>
      <c r="AB29" s="422">
        <v>1149</v>
      </c>
      <c r="AC29" s="434">
        <v>157</v>
      </c>
      <c r="AE29" s="437">
        <f t="shared" si="10"/>
        <v>0.27327892864616027</v>
      </c>
      <c r="AF29" s="713">
        <f>AE29-AE86</f>
        <v>6.9343457038463535E-2</v>
      </c>
      <c r="AG29" s="440">
        <f t="shared" si="11"/>
        <v>0.24042686754551162</v>
      </c>
      <c r="AH29" s="438">
        <f t="shared" si="12"/>
        <v>3.2852061100648672E-2</v>
      </c>
      <c r="AI29" s="752">
        <f>AH29-AH86</f>
        <v>4.2197900586787088E-3</v>
      </c>
      <c r="AK29" s="417" t="s">
        <v>32</v>
      </c>
      <c r="AL29" s="228"/>
      <c r="AM29" s="490">
        <f t="shared" si="1"/>
        <v>-49</v>
      </c>
      <c r="AN29" s="491">
        <f t="shared" si="2"/>
        <v>218</v>
      </c>
      <c r="AO29" s="502">
        <f t="shared" si="3"/>
        <v>4.7926815970103925E-2</v>
      </c>
      <c r="AP29" s="511">
        <f>AO29-AO86</f>
        <v>3.553976283665311E-2</v>
      </c>
      <c r="AQ29" s="437">
        <f t="shared" si="4"/>
        <v>0.98985086992543492</v>
      </c>
      <c r="AR29" s="528" t="s">
        <v>337</v>
      </c>
      <c r="AS29" s="535">
        <f>AQ29-AQ86</f>
        <v>-2.3516028256026278E-2</v>
      </c>
      <c r="AT29" s="437">
        <f t="shared" si="5"/>
        <v>1.2003676470588236</v>
      </c>
      <c r="AU29" s="530" t="s">
        <v>335</v>
      </c>
      <c r="AV29" s="546">
        <f>AT29-AT86</f>
        <v>0.1214683382657773</v>
      </c>
    </row>
    <row r="30" spans="1:48" s="4" customFormat="1" ht="14" x14ac:dyDescent="0.3">
      <c r="A30" s="95" t="s">
        <v>26</v>
      </c>
      <c r="B30" s="140" t="s">
        <v>33</v>
      </c>
      <c r="D30" s="463">
        <v>13406</v>
      </c>
      <c r="E30" s="465">
        <v>3164</v>
      </c>
      <c r="G30" s="437">
        <f t="shared" si="0"/>
        <v>0.23601372519767269</v>
      </c>
      <c r="H30" s="711">
        <f>G30-G86</f>
        <v>4.4465306723426773E-2</v>
      </c>
      <c r="K30" s="417" t="s">
        <v>33</v>
      </c>
      <c r="M30" s="419">
        <v>12157</v>
      </c>
      <c r="N30" s="13">
        <f t="shared" si="6"/>
        <v>3476</v>
      </c>
      <c r="O30" s="472">
        <v>3000</v>
      </c>
      <c r="P30" s="473">
        <v>476</v>
      </c>
      <c r="R30" s="479">
        <f t="shared" si="7"/>
        <v>0.28592580406350249</v>
      </c>
      <c r="S30" s="743">
        <f>R30-R86</f>
        <v>8.4549825826691932E-2</v>
      </c>
      <c r="T30" s="440">
        <f t="shared" si="8"/>
        <v>0.24677140741959366</v>
      </c>
      <c r="U30" s="438">
        <f t="shared" si="9"/>
        <v>3.9154396643908858E-2</v>
      </c>
      <c r="V30" s="706">
        <f>U30-U86</f>
        <v>1.1607803241971415E-2</v>
      </c>
      <c r="X30" s="131" t="s">
        <v>33</v>
      </c>
      <c r="Z30" s="419">
        <v>12021</v>
      </c>
      <c r="AA30" s="425">
        <v>3593</v>
      </c>
      <c r="AB30" s="422">
        <v>3096</v>
      </c>
      <c r="AC30" s="434">
        <v>497</v>
      </c>
      <c r="AE30" s="437">
        <f t="shared" si="10"/>
        <v>0.29889360286165878</v>
      </c>
      <c r="AF30" s="713">
        <f>AE30-AE86</f>
        <v>9.4958131253962047E-2</v>
      </c>
      <c r="AG30" s="440">
        <f t="shared" si="11"/>
        <v>0.25754928874469679</v>
      </c>
      <c r="AH30" s="438">
        <f t="shared" si="12"/>
        <v>4.1344314116961982E-2</v>
      </c>
      <c r="AI30" s="752">
        <f>AH30-AH86</f>
        <v>1.2712043074992019E-2</v>
      </c>
      <c r="AK30" s="417" t="s">
        <v>33</v>
      </c>
      <c r="AL30" s="228"/>
      <c r="AM30" s="490">
        <f t="shared" si="1"/>
        <v>-1385</v>
      </c>
      <c r="AN30" s="491">
        <f t="shared" si="2"/>
        <v>429</v>
      </c>
      <c r="AO30" s="502">
        <f t="shared" si="3"/>
        <v>6.2879877663986089E-2</v>
      </c>
      <c r="AP30" s="511">
        <f>AO30-AO86</f>
        <v>5.0492824530535274E-2</v>
      </c>
      <c r="AQ30" s="437">
        <f t="shared" si="4"/>
        <v>0.89668805012680886</v>
      </c>
      <c r="AR30" s="532" t="s">
        <v>340</v>
      </c>
      <c r="AS30" s="538">
        <f>AQ30-AQ86</f>
        <v>-0.11667884805465234</v>
      </c>
      <c r="AT30" s="437">
        <f t="shared" si="5"/>
        <v>1.1355878634639696</v>
      </c>
      <c r="AU30" s="530" t="s">
        <v>335</v>
      </c>
      <c r="AV30" s="705">
        <f>AT30-AT86</f>
        <v>5.6688554670923264E-2</v>
      </c>
    </row>
    <row r="31" spans="1:48" s="4" customFormat="1" ht="14" x14ac:dyDescent="0.3">
      <c r="A31" s="95" t="s">
        <v>26</v>
      </c>
      <c r="B31" s="140" t="s">
        <v>34</v>
      </c>
      <c r="D31" s="463">
        <v>4807</v>
      </c>
      <c r="E31" s="466">
        <v>967</v>
      </c>
      <c r="G31" s="437">
        <f t="shared" si="0"/>
        <v>0.20116496775535678</v>
      </c>
      <c r="H31" s="711">
        <f>G31-G86</f>
        <v>9.6165492811108588E-3</v>
      </c>
      <c r="K31" s="417" t="s">
        <v>34</v>
      </c>
      <c r="M31" s="419">
        <v>4599</v>
      </c>
      <c r="N31" s="13">
        <f t="shared" si="6"/>
        <v>1083</v>
      </c>
      <c r="O31" s="472">
        <v>947</v>
      </c>
      <c r="P31" s="473">
        <v>136</v>
      </c>
      <c r="R31" s="479">
        <f t="shared" si="7"/>
        <v>0.2354859752120026</v>
      </c>
      <c r="S31" s="741">
        <f>R31-R86</f>
        <v>3.4109996975192042E-2</v>
      </c>
      <c r="T31" s="440">
        <f t="shared" si="8"/>
        <v>0.20591432920200042</v>
      </c>
      <c r="U31" s="438">
        <f t="shared" si="9"/>
        <v>2.9571646010002173E-2</v>
      </c>
      <c r="V31" s="706">
        <f>U31-U86</f>
        <v>2.0250526080647299E-3</v>
      </c>
      <c r="X31" s="131" t="s">
        <v>34</v>
      </c>
      <c r="Z31" s="419">
        <v>4513</v>
      </c>
      <c r="AA31" s="425">
        <v>1112</v>
      </c>
      <c r="AB31" s="423">
        <v>983</v>
      </c>
      <c r="AC31" s="434">
        <v>129</v>
      </c>
      <c r="AE31" s="437">
        <f t="shared" si="10"/>
        <v>0.24639929093729226</v>
      </c>
      <c r="AF31" s="711">
        <f>AE31-AE86</f>
        <v>4.2463819329595531E-2</v>
      </c>
      <c r="AG31" s="440">
        <f t="shared" si="11"/>
        <v>0.21781520053179704</v>
      </c>
      <c r="AH31" s="438">
        <f t="shared" si="12"/>
        <v>2.8584090405495238E-2</v>
      </c>
      <c r="AI31" s="752">
        <f>AH31-AH86</f>
        <v>-4.8180636474725452E-5</v>
      </c>
      <c r="AK31" s="417" t="s">
        <v>34</v>
      </c>
      <c r="AL31" s="228"/>
      <c r="AM31" s="490">
        <f t="shared" si="1"/>
        <v>-294</v>
      </c>
      <c r="AN31" s="491">
        <f t="shared" si="2"/>
        <v>145</v>
      </c>
      <c r="AO31" s="502">
        <f t="shared" si="3"/>
        <v>4.5234323181935487E-2</v>
      </c>
      <c r="AP31" s="511">
        <f>AO31-AO86</f>
        <v>3.2847270048484672E-2</v>
      </c>
      <c r="AQ31" s="437">
        <f t="shared" si="4"/>
        <v>0.93883919284376949</v>
      </c>
      <c r="AR31" s="531" t="s">
        <v>339</v>
      </c>
      <c r="AS31" s="536">
        <f>AQ31-AQ86</f>
        <v>-7.4527705337691708E-2</v>
      </c>
      <c r="AT31" s="437">
        <f t="shared" si="5"/>
        <v>1.1499482936918304</v>
      </c>
      <c r="AU31" s="530" t="s">
        <v>335</v>
      </c>
      <c r="AV31" s="705">
        <f>AT31-AT86</f>
        <v>7.1048984898784084E-2</v>
      </c>
    </row>
    <row r="32" spans="1:48" s="4" customFormat="1" ht="14" x14ac:dyDescent="0.3">
      <c r="A32" s="95" t="s">
        <v>35</v>
      </c>
      <c r="B32" s="140" t="s">
        <v>36</v>
      </c>
      <c r="D32" s="463">
        <v>13889</v>
      </c>
      <c r="E32" s="465">
        <v>3127</v>
      </c>
      <c r="G32" s="437">
        <f t="shared" si="0"/>
        <v>0.2251421988624091</v>
      </c>
      <c r="H32" s="711">
        <f>G32-G86</f>
        <v>3.3593780388163186E-2</v>
      </c>
      <c r="K32" s="417" t="s">
        <v>36</v>
      </c>
      <c r="M32" s="419">
        <v>13127</v>
      </c>
      <c r="N32" s="13">
        <f t="shared" si="6"/>
        <v>3215</v>
      </c>
      <c r="O32" s="472">
        <v>2812</v>
      </c>
      <c r="P32" s="473">
        <v>403</v>
      </c>
      <c r="R32" s="479">
        <f t="shared" si="7"/>
        <v>0.24491506056220005</v>
      </c>
      <c r="S32" s="741">
        <f>R32-R86</f>
        <v>4.35390823253895E-2</v>
      </c>
      <c r="T32" s="440">
        <f t="shared" si="8"/>
        <v>0.21421497676544526</v>
      </c>
      <c r="U32" s="438">
        <f t="shared" si="9"/>
        <v>3.070008379675478E-2</v>
      </c>
      <c r="V32" s="706">
        <f>U32-U86</f>
        <v>3.1534903948173369E-3</v>
      </c>
      <c r="X32" s="131" t="s">
        <v>36</v>
      </c>
      <c r="Z32" s="419">
        <v>13086</v>
      </c>
      <c r="AA32" s="425">
        <v>3216</v>
      </c>
      <c r="AB32" s="422">
        <v>2831</v>
      </c>
      <c r="AC32" s="434">
        <v>385</v>
      </c>
      <c r="AE32" s="437">
        <f t="shared" si="10"/>
        <v>0.24575882622650161</v>
      </c>
      <c r="AF32" s="711">
        <f>AE32-AE86</f>
        <v>4.1823354618804875E-2</v>
      </c>
      <c r="AG32" s="440">
        <f t="shared" si="11"/>
        <v>0.21633807122115237</v>
      </c>
      <c r="AH32" s="438">
        <f t="shared" si="12"/>
        <v>2.9420755005349228E-2</v>
      </c>
      <c r="AI32" s="752">
        <f>AH32-AH86</f>
        <v>7.884839633792648E-4</v>
      </c>
      <c r="AK32" s="417" t="s">
        <v>36</v>
      </c>
      <c r="AL32" s="228"/>
      <c r="AM32" s="490">
        <f t="shared" si="1"/>
        <v>-803</v>
      </c>
      <c r="AN32" s="491">
        <f t="shared" si="2"/>
        <v>89</v>
      </c>
      <c r="AO32" s="502">
        <f t="shared" si="3"/>
        <v>2.0616627364092505E-2</v>
      </c>
      <c r="AP32" s="511">
        <f>AO32-AO86</f>
        <v>8.2295742306416897E-3</v>
      </c>
      <c r="AQ32" s="437">
        <f t="shared" si="4"/>
        <v>0.94218446252429977</v>
      </c>
      <c r="AR32" s="531" t="s">
        <v>339</v>
      </c>
      <c r="AS32" s="536">
        <f>AQ32-AQ86</f>
        <v>-7.1182435657161425E-2</v>
      </c>
      <c r="AT32" s="437">
        <f t="shared" si="5"/>
        <v>1.0284617844579469</v>
      </c>
      <c r="AU32" s="526" t="s">
        <v>333</v>
      </c>
      <c r="AV32" s="706">
        <f>AT32-AT86</f>
        <v>-5.0437524335099404E-2</v>
      </c>
    </row>
    <row r="33" spans="1:48" s="4" customFormat="1" ht="14" x14ac:dyDescent="0.3">
      <c r="A33" s="95" t="s">
        <v>35</v>
      </c>
      <c r="B33" s="140" t="s">
        <v>37</v>
      </c>
      <c r="D33" s="463">
        <v>5643</v>
      </c>
      <c r="E33" s="465">
        <v>1437</v>
      </c>
      <c r="G33" s="437">
        <f t="shared" si="0"/>
        <v>0.25465178096757046</v>
      </c>
      <c r="H33" s="713">
        <f>G33-G86</f>
        <v>6.3103362493324544E-2</v>
      </c>
      <c r="K33" s="417" t="s">
        <v>37</v>
      </c>
      <c r="M33" s="419">
        <v>5291</v>
      </c>
      <c r="N33" s="13">
        <f t="shared" si="6"/>
        <v>1419</v>
      </c>
      <c r="O33" s="472">
        <v>1193</v>
      </c>
      <c r="P33" s="473">
        <v>226</v>
      </c>
      <c r="R33" s="479">
        <f t="shared" si="7"/>
        <v>0.26819126819126821</v>
      </c>
      <c r="S33" s="743">
        <f>R33-R86</f>
        <v>6.6815289954457652E-2</v>
      </c>
      <c r="T33" s="440">
        <f t="shared" si="8"/>
        <v>0.22547722547722548</v>
      </c>
      <c r="U33" s="438">
        <f t="shared" si="9"/>
        <v>4.2714042714042715E-2</v>
      </c>
      <c r="V33" s="706">
        <f>U33-U86</f>
        <v>1.5167449312105272E-2</v>
      </c>
      <c r="X33" s="131" t="s">
        <v>37</v>
      </c>
      <c r="Z33" s="419">
        <v>5226</v>
      </c>
      <c r="AA33" s="425">
        <v>1421</v>
      </c>
      <c r="AB33" s="422">
        <v>1190</v>
      </c>
      <c r="AC33" s="434">
        <v>231</v>
      </c>
      <c r="AE33" s="437">
        <f t="shared" si="10"/>
        <v>0.27190968235744356</v>
      </c>
      <c r="AF33" s="713">
        <f>AE33-AE86</f>
        <v>6.7974210749746827E-2</v>
      </c>
      <c r="AG33" s="440">
        <f t="shared" si="11"/>
        <v>0.22770761576731727</v>
      </c>
      <c r="AH33" s="438">
        <f t="shared" si="12"/>
        <v>4.4202066590126293E-2</v>
      </c>
      <c r="AI33" s="752">
        <f>AH33-AH86</f>
        <v>1.556979554815633E-2</v>
      </c>
      <c r="AK33" s="417" t="s">
        <v>37</v>
      </c>
      <c r="AL33" s="228"/>
      <c r="AM33" s="490">
        <f t="shared" si="1"/>
        <v>-417</v>
      </c>
      <c r="AN33" s="491">
        <f t="shared" si="2"/>
        <v>-16</v>
      </c>
      <c r="AO33" s="502">
        <f t="shared" si="3"/>
        <v>1.7257901389873098E-2</v>
      </c>
      <c r="AP33" s="511">
        <f>AO33-AO86</f>
        <v>4.8708482564222833E-3</v>
      </c>
      <c r="AQ33" s="437">
        <f t="shared" si="4"/>
        <v>0.92610313662945243</v>
      </c>
      <c r="AR33" s="531" t="s">
        <v>339</v>
      </c>
      <c r="AS33" s="536">
        <f>AQ33-AQ86</f>
        <v>-8.7263761552008767E-2</v>
      </c>
      <c r="AT33" s="437">
        <f t="shared" si="5"/>
        <v>0.98886569241475297</v>
      </c>
      <c r="AU33" s="528" t="s">
        <v>337</v>
      </c>
      <c r="AV33" s="707">
        <f>AT33-AT86</f>
        <v>-9.0033616378293324E-2</v>
      </c>
    </row>
    <row r="34" spans="1:48" s="4" customFormat="1" ht="14" x14ac:dyDescent="0.3">
      <c r="A34" s="95" t="s">
        <v>35</v>
      </c>
      <c r="B34" s="140" t="s">
        <v>38</v>
      </c>
      <c r="D34" s="463">
        <v>10012</v>
      </c>
      <c r="E34" s="465">
        <v>2353</v>
      </c>
      <c r="G34" s="437">
        <f t="shared" si="0"/>
        <v>0.23501797842588892</v>
      </c>
      <c r="H34" s="711">
        <f>G34-G86</f>
        <v>4.3469559951643005E-2</v>
      </c>
      <c r="K34" s="417" t="s">
        <v>38</v>
      </c>
      <c r="M34" s="419">
        <v>9484</v>
      </c>
      <c r="N34" s="13">
        <f t="shared" si="6"/>
        <v>2419</v>
      </c>
      <c r="O34" s="472">
        <v>2035</v>
      </c>
      <c r="P34" s="473">
        <v>384</v>
      </c>
      <c r="R34" s="479">
        <f t="shared" si="7"/>
        <v>0.25506115563053566</v>
      </c>
      <c r="S34" s="743">
        <f>R34-R86</f>
        <v>5.3685177393725109E-2</v>
      </c>
      <c r="T34" s="440">
        <f t="shared" si="8"/>
        <v>0.21457191058625052</v>
      </c>
      <c r="U34" s="438">
        <f t="shared" si="9"/>
        <v>4.048924504428511E-2</v>
      </c>
      <c r="V34" s="706">
        <f>U34-U86</f>
        <v>1.2942651642347668E-2</v>
      </c>
      <c r="X34" s="131" t="s">
        <v>38</v>
      </c>
      <c r="Z34" s="419">
        <v>9296</v>
      </c>
      <c r="AA34" s="425">
        <v>2386</v>
      </c>
      <c r="AB34" s="422">
        <v>1992</v>
      </c>
      <c r="AC34" s="434">
        <v>394</v>
      </c>
      <c r="AE34" s="437">
        <f t="shared" si="10"/>
        <v>0.25666953528399311</v>
      </c>
      <c r="AF34" s="713">
        <f>AE34-AE86</f>
        <v>5.2734063676296378E-2</v>
      </c>
      <c r="AG34" s="440">
        <f t="shared" si="11"/>
        <v>0.21428571428571427</v>
      </c>
      <c r="AH34" s="438">
        <f t="shared" si="12"/>
        <v>4.238382099827883E-2</v>
      </c>
      <c r="AI34" s="752">
        <f>AH34-AH86</f>
        <v>1.3751549956308867E-2</v>
      </c>
      <c r="AK34" s="417" t="s">
        <v>38</v>
      </c>
      <c r="AL34" s="228"/>
      <c r="AM34" s="490">
        <f t="shared" si="1"/>
        <v>-716</v>
      </c>
      <c r="AN34" s="491">
        <f t="shared" si="2"/>
        <v>33</v>
      </c>
      <c r="AO34" s="502">
        <f t="shared" si="3"/>
        <v>2.1651556858104187E-2</v>
      </c>
      <c r="AP34" s="511">
        <f>AO34-AO86</f>
        <v>9.2645037246533724E-3</v>
      </c>
      <c r="AQ34" s="437">
        <f t="shared" si="4"/>
        <v>0.92848581701957655</v>
      </c>
      <c r="AR34" s="531" t="s">
        <v>339</v>
      </c>
      <c r="AS34" s="536">
        <f>AQ34-AQ86</f>
        <v>-8.4881081161884642E-2</v>
      </c>
      <c r="AT34" s="437">
        <f t="shared" si="5"/>
        <v>1.0140246493837655</v>
      </c>
      <c r="AU34" s="526" t="s">
        <v>333</v>
      </c>
      <c r="AV34" s="707">
        <f>AT34-AT86</f>
        <v>-6.4874659409280833E-2</v>
      </c>
    </row>
    <row r="35" spans="1:48" s="4" customFormat="1" ht="14" x14ac:dyDescent="0.3">
      <c r="A35" s="95" t="s">
        <v>39</v>
      </c>
      <c r="B35" s="140" t="s">
        <v>40</v>
      </c>
      <c r="D35" s="463">
        <v>9121</v>
      </c>
      <c r="E35" s="465">
        <v>1913</v>
      </c>
      <c r="G35" s="437">
        <f t="shared" si="0"/>
        <v>0.20973577458611994</v>
      </c>
      <c r="H35" s="711">
        <f>G35-G86</f>
        <v>1.8187356111874026E-2</v>
      </c>
      <c r="K35" s="417" t="s">
        <v>40</v>
      </c>
      <c r="M35" s="419">
        <v>8868</v>
      </c>
      <c r="N35" s="13">
        <f t="shared" si="6"/>
        <v>1989</v>
      </c>
      <c r="O35" s="472">
        <v>1729</v>
      </c>
      <c r="P35" s="473">
        <v>260</v>
      </c>
      <c r="R35" s="479">
        <f t="shared" si="7"/>
        <v>0.22428958051420839</v>
      </c>
      <c r="S35" s="741">
        <f>R35-R86</f>
        <v>2.2913602277397832E-2</v>
      </c>
      <c r="T35" s="440">
        <f t="shared" si="8"/>
        <v>0.19497068110058638</v>
      </c>
      <c r="U35" s="438">
        <f t="shared" si="9"/>
        <v>2.9318899413622011E-2</v>
      </c>
      <c r="V35" s="706">
        <f>U35-U86</f>
        <v>1.7723060116845678E-3</v>
      </c>
      <c r="X35" s="131" t="s">
        <v>40</v>
      </c>
      <c r="Z35" s="419">
        <v>8726</v>
      </c>
      <c r="AA35" s="425">
        <v>2005</v>
      </c>
      <c r="AB35" s="422">
        <v>1751</v>
      </c>
      <c r="AC35" s="434">
        <v>254</v>
      </c>
      <c r="AE35" s="437">
        <f t="shared" si="10"/>
        <v>0.22977309190923675</v>
      </c>
      <c r="AF35" s="711">
        <f>AE35-AE86</f>
        <v>2.5837620301540021E-2</v>
      </c>
      <c r="AG35" s="440">
        <f t="shared" si="11"/>
        <v>0.20066468026587211</v>
      </c>
      <c r="AH35" s="438">
        <f t="shared" si="12"/>
        <v>2.9108411643364657E-2</v>
      </c>
      <c r="AI35" s="752">
        <f>AH35-AH86</f>
        <v>4.7614060139469436E-4</v>
      </c>
      <c r="AK35" s="417" t="s">
        <v>40</v>
      </c>
      <c r="AL35" s="228"/>
      <c r="AM35" s="490">
        <f t="shared" si="1"/>
        <v>-395</v>
      </c>
      <c r="AN35" s="491">
        <f t="shared" si="2"/>
        <v>92</v>
      </c>
      <c r="AO35" s="502">
        <f t="shared" si="3"/>
        <v>2.003731732311681E-2</v>
      </c>
      <c r="AP35" s="511">
        <f>AO35-AO86</f>
        <v>7.6502641896659951E-3</v>
      </c>
      <c r="AQ35" s="437">
        <f t="shared" si="4"/>
        <v>0.95669334502795744</v>
      </c>
      <c r="AR35" s="528" t="s">
        <v>337</v>
      </c>
      <c r="AS35" s="536">
        <f>AQ35-AQ86</f>
        <v>-5.6673553153503753E-2</v>
      </c>
      <c r="AT35" s="437">
        <f t="shared" si="5"/>
        <v>1.0480920020909565</v>
      </c>
      <c r="AU35" s="526" t="s">
        <v>333</v>
      </c>
      <c r="AV35" s="706">
        <f>AT35-AT86</f>
        <v>-3.0807306702089754E-2</v>
      </c>
    </row>
    <row r="36" spans="1:48" s="4" customFormat="1" ht="14" x14ac:dyDescent="0.3">
      <c r="A36" s="95" t="s">
        <v>39</v>
      </c>
      <c r="B36" s="140" t="s">
        <v>41</v>
      </c>
      <c r="D36" s="463">
        <v>10898</v>
      </c>
      <c r="E36" s="465">
        <v>2385</v>
      </c>
      <c r="G36" s="437">
        <f t="shared" si="0"/>
        <v>0.21884749495320241</v>
      </c>
      <c r="H36" s="711">
        <f>G36-G86</f>
        <v>2.7299076478956491E-2</v>
      </c>
      <c r="K36" s="417" t="s">
        <v>41</v>
      </c>
      <c r="M36" s="419">
        <v>10289</v>
      </c>
      <c r="N36" s="13">
        <f t="shared" si="6"/>
        <v>2494</v>
      </c>
      <c r="O36" s="472">
        <v>2170</v>
      </c>
      <c r="P36" s="473">
        <v>324</v>
      </c>
      <c r="R36" s="479">
        <f t="shared" si="7"/>
        <v>0.2423947905530178</v>
      </c>
      <c r="S36" s="741">
        <f>R36-R86</f>
        <v>4.1018812316207243E-2</v>
      </c>
      <c r="T36" s="440">
        <f t="shared" si="8"/>
        <v>0.21090484983963456</v>
      </c>
      <c r="U36" s="438">
        <f t="shared" si="9"/>
        <v>3.1489940713383222E-2</v>
      </c>
      <c r="V36" s="706">
        <f>U36-U86</f>
        <v>3.9433473114457787E-3</v>
      </c>
      <c r="X36" s="131" t="s">
        <v>41</v>
      </c>
      <c r="Z36" s="419">
        <v>10297</v>
      </c>
      <c r="AA36" s="425">
        <v>2529</v>
      </c>
      <c r="AB36" s="422">
        <v>2197</v>
      </c>
      <c r="AC36" s="434">
        <v>332</v>
      </c>
      <c r="AE36" s="437">
        <f t="shared" si="10"/>
        <v>0.24560551616975818</v>
      </c>
      <c r="AF36" s="711">
        <f>AE36-AE86</f>
        <v>4.1670044562061442E-2</v>
      </c>
      <c r="AG36" s="440">
        <f t="shared" si="11"/>
        <v>0.21336311547052539</v>
      </c>
      <c r="AH36" s="438">
        <f t="shared" si="12"/>
        <v>3.2242400699232787E-2</v>
      </c>
      <c r="AI36" s="752">
        <f>AH36-AH86</f>
        <v>3.6101296572628241E-3</v>
      </c>
      <c r="AK36" s="417" t="s">
        <v>41</v>
      </c>
      <c r="AL36" s="228"/>
      <c r="AM36" s="490">
        <f t="shared" si="1"/>
        <v>-601</v>
      </c>
      <c r="AN36" s="491">
        <f t="shared" si="2"/>
        <v>144</v>
      </c>
      <c r="AO36" s="502">
        <f t="shared" si="3"/>
        <v>2.6758021216555766E-2</v>
      </c>
      <c r="AP36" s="511">
        <f>AO36-AO86</f>
        <v>1.4370968083104951E-2</v>
      </c>
      <c r="AQ36" s="437">
        <f t="shared" si="4"/>
        <v>0.94485226647091214</v>
      </c>
      <c r="AR36" s="531" t="s">
        <v>339</v>
      </c>
      <c r="AS36" s="536">
        <f>AQ36-AQ86</f>
        <v>-6.8514631710549057E-2</v>
      </c>
      <c r="AT36" s="437">
        <f t="shared" si="5"/>
        <v>1.060377358490566</v>
      </c>
      <c r="AU36" s="524" t="s">
        <v>334</v>
      </c>
      <c r="AV36" s="706">
        <f>AT36-AT86</f>
        <v>-1.8521950302480272E-2</v>
      </c>
    </row>
    <row r="37" spans="1:48" s="4" customFormat="1" ht="14" x14ac:dyDescent="0.3">
      <c r="A37" s="95" t="s">
        <v>39</v>
      </c>
      <c r="B37" s="140" t="s">
        <v>42</v>
      </c>
      <c r="D37" s="463">
        <v>11063</v>
      </c>
      <c r="E37" s="465">
        <v>2613</v>
      </c>
      <c r="G37" s="437">
        <f t="shared" si="0"/>
        <v>0.23619271445358403</v>
      </c>
      <c r="H37" s="711">
        <f>G37-G86</f>
        <v>4.4644295979338111E-2</v>
      </c>
      <c r="K37" s="417" t="s">
        <v>42</v>
      </c>
      <c r="M37" s="419">
        <v>10661</v>
      </c>
      <c r="N37" s="13">
        <f t="shared" si="6"/>
        <v>2684</v>
      </c>
      <c r="O37" s="472">
        <v>2330</v>
      </c>
      <c r="P37" s="473">
        <v>354</v>
      </c>
      <c r="R37" s="479">
        <f t="shared" si="7"/>
        <v>0.2517587468342557</v>
      </c>
      <c r="S37" s="743">
        <f>R37-R86</f>
        <v>5.0382768597445143E-2</v>
      </c>
      <c r="T37" s="440">
        <f t="shared" si="8"/>
        <v>0.21855360660350812</v>
      </c>
      <c r="U37" s="438">
        <f t="shared" si="9"/>
        <v>3.3205140230747582E-2</v>
      </c>
      <c r="V37" s="706">
        <f>U37-U86</f>
        <v>5.658546828810139E-3</v>
      </c>
      <c r="X37" s="131" t="s">
        <v>42</v>
      </c>
      <c r="Z37" s="419">
        <v>10588</v>
      </c>
      <c r="AA37" s="425">
        <v>2696</v>
      </c>
      <c r="AB37" s="422">
        <v>2344</v>
      </c>
      <c r="AC37" s="434">
        <v>352</v>
      </c>
      <c r="AE37" s="437">
        <f t="shared" si="10"/>
        <v>0.25462788061956931</v>
      </c>
      <c r="AF37" s="713">
        <f>AE37-AE86</f>
        <v>5.069240901187258E-2</v>
      </c>
      <c r="AG37" s="440">
        <f t="shared" si="11"/>
        <v>0.2213826973932754</v>
      </c>
      <c r="AH37" s="438">
        <f t="shared" si="12"/>
        <v>3.3245183226293919E-2</v>
      </c>
      <c r="AI37" s="752">
        <f>AH37-AH86</f>
        <v>4.6129121843239557E-3</v>
      </c>
      <c r="AK37" s="417" t="s">
        <v>42</v>
      </c>
      <c r="AL37" s="228"/>
      <c r="AM37" s="490">
        <f t="shared" si="1"/>
        <v>-475</v>
      </c>
      <c r="AN37" s="491">
        <f t="shared" si="2"/>
        <v>83</v>
      </c>
      <c r="AO37" s="502">
        <f t="shared" si="3"/>
        <v>1.8435166165985284E-2</v>
      </c>
      <c r="AP37" s="511">
        <f>AO37-AO86</f>
        <v>6.048113032534469E-3</v>
      </c>
      <c r="AQ37" s="437">
        <f t="shared" si="4"/>
        <v>0.95706408749887006</v>
      </c>
      <c r="AR37" s="528" t="s">
        <v>337</v>
      </c>
      <c r="AS37" s="536">
        <f>AQ37-AQ86</f>
        <v>-5.6302810682591131E-2</v>
      </c>
      <c r="AT37" s="437">
        <f t="shared" si="5"/>
        <v>1.0317642556448527</v>
      </c>
      <c r="AU37" s="526" t="s">
        <v>333</v>
      </c>
      <c r="AV37" s="706">
        <f>AT37-AT86</f>
        <v>-4.7135053148193551E-2</v>
      </c>
    </row>
    <row r="38" spans="1:48" s="4" customFormat="1" ht="14" x14ac:dyDescent="0.3">
      <c r="A38" s="95" t="s">
        <v>43</v>
      </c>
      <c r="B38" s="140" t="s">
        <v>44</v>
      </c>
      <c r="D38" s="463">
        <v>13516</v>
      </c>
      <c r="E38" s="465">
        <v>3075</v>
      </c>
      <c r="G38" s="437">
        <f t="shared" si="0"/>
        <v>0.22750813850251553</v>
      </c>
      <c r="H38" s="711">
        <f>G38-G86</f>
        <v>3.5959720028269609E-2</v>
      </c>
      <c r="K38" s="417" t="s">
        <v>44</v>
      </c>
      <c r="M38" s="419">
        <v>13106</v>
      </c>
      <c r="N38" s="13">
        <f t="shared" si="6"/>
        <v>3382</v>
      </c>
      <c r="O38" s="472">
        <v>2939</v>
      </c>
      <c r="P38" s="473">
        <v>443</v>
      </c>
      <c r="R38" s="479">
        <f t="shared" si="7"/>
        <v>0.25804974820692811</v>
      </c>
      <c r="S38" s="743">
        <f>R38-R86</f>
        <v>5.6673769970117555E-2</v>
      </c>
      <c r="T38" s="440">
        <f t="shared" si="8"/>
        <v>0.22424843583091714</v>
      </c>
      <c r="U38" s="438">
        <f t="shared" si="9"/>
        <v>3.3801312376010986E-2</v>
      </c>
      <c r="V38" s="706">
        <f>U38-U86</f>
        <v>6.2547189740735434E-3</v>
      </c>
      <c r="X38" s="131" t="s">
        <v>44</v>
      </c>
      <c r="Z38" s="419">
        <v>12998</v>
      </c>
      <c r="AA38" s="425">
        <v>3396</v>
      </c>
      <c r="AB38" s="422">
        <v>2939</v>
      </c>
      <c r="AC38" s="434">
        <v>457</v>
      </c>
      <c r="AE38" s="437">
        <f t="shared" si="10"/>
        <v>0.26127096476380984</v>
      </c>
      <c r="AF38" s="713">
        <f>AE38-AE86</f>
        <v>5.733549315611311E-2</v>
      </c>
      <c r="AG38" s="440">
        <f t="shared" si="11"/>
        <v>0.22611170949376827</v>
      </c>
      <c r="AH38" s="438">
        <f t="shared" si="12"/>
        <v>3.5159255270041545E-2</v>
      </c>
      <c r="AI38" s="752">
        <f>AH38-AH86</f>
        <v>6.526984228071582E-3</v>
      </c>
      <c r="AK38" s="417" t="s">
        <v>44</v>
      </c>
      <c r="AL38" s="228"/>
      <c r="AM38" s="490">
        <f t="shared" si="1"/>
        <v>-518</v>
      </c>
      <c r="AN38" s="491">
        <f t="shared" si="2"/>
        <v>321</v>
      </c>
      <c r="AO38" s="502">
        <f t="shared" si="3"/>
        <v>3.3762826261294315E-2</v>
      </c>
      <c r="AP38" s="511">
        <f>AO38-AO86</f>
        <v>2.13757731278435E-2</v>
      </c>
      <c r="AQ38" s="437">
        <f t="shared" si="4"/>
        <v>0.96167505179047053</v>
      </c>
      <c r="AR38" s="528" t="s">
        <v>337</v>
      </c>
      <c r="AS38" s="536">
        <f>AQ38-AQ86</f>
        <v>-5.169184639099067E-2</v>
      </c>
      <c r="AT38" s="437">
        <f t="shared" si="5"/>
        <v>1.1043902439024391</v>
      </c>
      <c r="AU38" s="530" t="s">
        <v>335</v>
      </c>
      <c r="AV38" s="704">
        <f>AT38-AT86</f>
        <v>2.549093510939282E-2</v>
      </c>
    </row>
    <row r="39" spans="1:48" s="4" customFormat="1" ht="14" x14ac:dyDescent="0.3">
      <c r="A39" s="95" t="s">
        <v>43</v>
      </c>
      <c r="B39" s="140" t="s">
        <v>45</v>
      </c>
      <c r="D39" s="463">
        <v>7239</v>
      </c>
      <c r="E39" s="465">
        <v>1541</v>
      </c>
      <c r="G39" s="437">
        <f t="shared" ref="G39:G70" si="13">E39/D39</f>
        <v>0.21287470645116729</v>
      </c>
      <c r="H39" s="711">
        <f>G39-G86</f>
        <v>2.1326287976921376E-2</v>
      </c>
      <c r="K39" s="417" t="s">
        <v>45</v>
      </c>
      <c r="M39" s="419">
        <v>7269</v>
      </c>
      <c r="N39" s="13">
        <f t="shared" si="6"/>
        <v>1641</v>
      </c>
      <c r="O39" s="472">
        <v>1460</v>
      </c>
      <c r="P39" s="473">
        <v>181</v>
      </c>
      <c r="R39" s="479">
        <f t="shared" si="7"/>
        <v>0.22575319851423856</v>
      </c>
      <c r="S39" s="741">
        <f>R39-R86</f>
        <v>2.4377220277428002E-2</v>
      </c>
      <c r="T39" s="440">
        <f t="shared" si="8"/>
        <v>0.20085293713027927</v>
      </c>
      <c r="U39" s="438">
        <f t="shared" si="9"/>
        <v>2.4900261383959277E-2</v>
      </c>
      <c r="V39" s="704">
        <f>U39-U86</f>
        <v>-2.6463320179781653E-3</v>
      </c>
      <c r="X39" s="131" t="s">
        <v>45</v>
      </c>
      <c r="Z39" s="419">
        <v>7201</v>
      </c>
      <c r="AA39" s="425">
        <v>1680</v>
      </c>
      <c r="AB39" s="422">
        <v>1474</v>
      </c>
      <c r="AC39" s="434">
        <v>206</v>
      </c>
      <c r="AE39" s="437">
        <f t="shared" si="10"/>
        <v>0.23330093042632968</v>
      </c>
      <c r="AF39" s="711">
        <f>AE39-AE86</f>
        <v>2.936545881863295E-2</v>
      </c>
      <c r="AG39" s="440">
        <f t="shared" si="11"/>
        <v>0.20469379252881545</v>
      </c>
      <c r="AH39" s="438">
        <f t="shared" si="12"/>
        <v>2.8607137897514234E-2</v>
      </c>
      <c r="AI39" s="752">
        <f>AH39-AH86</f>
        <v>-2.5133144455728729E-5</v>
      </c>
      <c r="AK39" s="417" t="s">
        <v>45</v>
      </c>
      <c r="AL39" s="228"/>
      <c r="AM39" s="490">
        <f t="shared" ref="AM39:AM70" si="14">Z39-D39</f>
        <v>-38</v>
      </c>
      <c r="AN39" s="491">
        <f t="shared" ref="AN39:AN70" si="15">AA39-E39</f>
        <v>139</v>
      </c>
      <c r="AO39" s="502">
        <f t="shared" ref="AO39:AO70" si="16">AE39-G39</f>
        <v>2.0426223975162389E-2</v>
      </c>
      <c r="AP39" s="511">
        <f>AO39-AO86</f>
        <v>8.0391708417115737E-3</v>
      </c>
      <c r="AQ39" s="437">
        <f t="shared" ref="AQ39:AQ70" si="17">Z39/D39</f>
        <v>0.99475065616797897</v>
      </c>
      <c r="AR39" s="528" t="s">
        <v>337</v>
      </c>
      <c r="AS39" s="535">
        <f>AQ39-AQ86</f>
        <v>-1.861624201348222E-2</v>
      </c>
      <c r="AT39" s="437">
        <f t="shared" ref="AT39:AT70" si="18">AA39/E39</f>
        <v>1.09020116807268</v>
      </c>
      <c r="AU39" s="524" t="s">
        <v>334</v>
      </c>
      <c r="AV39" s="704">
        <f>AT39-AT86</f>
        <v>1.1301859279633675E-2</v>
      </c>
    </row>
    <row r="40" spans="1:48" s="4" customFormat="1" ht="14" x14ac:dyDescent="0.3">
      <c r="A40" s="95" t="s">
        <v>43</v>
      </c>
      <c r="B40" s="140" t="s">
        <v>46</v>
      </c>
      <c r="D40" s="464">
        <v>419</v>
      </c>
      <c r="E40" s="466">
        <v>78</v>
      </c>
      <c r="G40" s="437">
        <f t="shared" si="13"/>
        <v>0.18615751789976134</v>
      </c>
      <c r="H40" s="710">
        <f>G40-G86</f>
        <v>-5.390900574484575E-3</v>
      </c>
      <c r="K40" s="417" t="s">
        <v>46</v>
      </c>
      <c r="M40" s="419">
        <v>452</v>
      </c>
      <c r="N40" s="13">
        <f t="shared" si="6"/>
        <v>102</v>
      </c>
      <c r="O40" s="472">
        <v>94</v>
      </c>
      <c r="P40" s="473">
        <v>8</v>
      </c>
      <c r="R40" s="479">
        <f t="shared" si="7"/>
        <v>0.22566371681415928</v>
      </c>
      <c r="S40" s="741">
        <f>R40-R86</f>
        <v>2.4287738577348728E-2</v>
      </c>
      <c r="T40" s="440">
        <f t="shared" si="8"/>
        <v>0.20796460176991149</v>
      </c>
      <c r="U40" s="438">
        <f t="shared" si="9"/>
        <v>1.7699115044247787E-2</v>
      </c>
      <c r="V40" s="704">
        <f>U40-U86</f>
        <v>-9.8474783576896555E-3</v>
      </c>
      <c r="X40" s="131" t="s">
        <v>46</v>
      </c>
      <c r="Z40" s="419">
        <v>454</v>
      </c>
      <c r="AA40" s="426">
        <v>104</v>
      </c>
      <c r="AB40" s="423">
        <v>97</v>
      </c>
      <c r="AC40" s="434">
        <v>7</v>
      </c>
      <c r="AE40" s="437">
        <f t="shared" si="10"/>
        <v>0.22907488986784141</v>
      </c>
      <c r="AF40" s="711">
        <f>AE40-AE86</f>
        <v>2.513941826014468E-2</v>
      </c>
      <c r="AG40" s="440">
        <f t="shared" si="11"/>
        <v>0.21365638766519823</v>
      </c>
      <c r="AH40" s="438">
        <f t="shared" si="12"/>
        <v>1.5418502202643172E-2</v>
      </c>
      <c r="AI40" s="754">
        <f>AH40-AH86</f>
        <v>-1.3213768839326791E-2</v>
      </c>
      <c r="AK40" s="417" t="s">
        <v>46</v>
      </c>
      <c r="AL40" s="228"/>
      <c r="AM40" s="490">
        <f t="shared" si="14"/>
        <v>35</v>
      </c>
      <c r="AN40" s="491">
        <f t="shared" si="15"/>
        <v>26</v>
      </c>
      <c r="AO40" s="502">
        <f t="shared" si="16"/>
        <v>4.291737196808007E-2</v>
      </c>
      <c r="AP40" s="511">
        <f>AO40-AO86</f>
        <v>3.0530318834629255E-2</v>
      </c>
      <c r="AQ40" s="437">
        <f t="shared" si="17"/>
        <v>1.0835322195704058</v>
      </c>
      <c r="AR40" s="524" t="s">
        <v>334</v>
      </c>
      <c r="AS40" s="536">
        <f>AQ40-AQ86</f>
        <v>7.0165321388944601E-2</v>
      </c>
      <c r="AT40" s="437">
        <f t="shared" si="18"/>
        <v>1.3333333333333333</v>
      </c>
      <c r="AU40" s="529" t="s">
        <v>336</v>
      </c>
      <c r="AV40" s="545">
        <f>AT40-AT86</f>
        <v>0.25443402454028696</v>
      </c>
    </row>
    <row r="41" spans="1:48" s="4" customFormat="1" ht="14" x14ac:dyDescent="0.3">
      <c r="A41" s="95" t="s">
        <v>47</v>
      </c>
      <c r="B41" s="140" t="s">
        <v>48</v>
      </c>
      <c r="D41" s="463">
        <v>4389</v>
      </c>
      <c r="E41" s="466">
        <v>978</v>
      </c>
      <c r="G41" s="437">
        <f t="shared" si="13"/>
        <v>0.22282980177717021</v>
      </c>
      <c r="H41" s="711">
        <f>G41-G86</f>
        <v>3.1281383302924293E-2</v>
      </c>
      <c r="K41" s="417" t="s">
        <v>48</v>
      </c>
      <c r="M41" s="419">
        <v>4377</v>
      </c>
      <c r="N41" s="13">
        <f t="shared" si="6"/>
        <v>1039</v>
      </c>
      <c r="O41" s="472">
        <v>898</v>
      </c>
      <c r="P41" s="473">
        <v>141</v>
      </c>
      <c r="R41" s="479">
        <f t="shared" si="7"/>
        <v>0.23737719899474527</v>
      </c>
      <c r="S41" s="741">
        <f>R41-R86</f>
        <v>3.6001220757934715E-2</v>
      </c>
      <c r="T41" s="440">
        <f t="shared" si="8"/>
        <v>0.20516335389536211</v>
      </c>
      <c r="U41" s="438">
        <f t="shared" si="9"/>
        <v>3.2213845099383139E-2</v>
      </c>
      <c r="V41" s="706">
        <f>U41-U86</f>
        <v>4.6672516974456957E-3</v>
      </c>
      <c r="X41" s="131" t="s">
        <v>48</v>
      </c>
      <c r="Z41" s="419">
        <v>4298</v>
      </c>
      <c r="AA41" s="425">
        <v>1060</v>
      </c>
      <c r="AB41" s="423">
        <v>919</v>
      </c>
      <c r="AC41" s="434">
        <v>141</v>
      </c>
      <c r="AE41" s="437">
        <f t="shared" si="10"/>
        <v>0.24662633783154955</v>
      </c>
      <c r="AF41" s="711">
        <f>AE41-AE86</f>
        <v>4.2690866223852819E-2</v>
      </c>
      <c r="AG41" s="440">
        <f t="shared" si="11"/>
        <v>0.21382038157282457</v>
      </c>
      <c r="AH41" s="438">
        <f t="shared" si="12"/>
        <v>3.280595625872499E-2</v>
      </c>
      <c r="AI41" s="752">
        <f>AH41-AH86</f>
        <v>4.173685216755027E-3</v>
      </c>
      <c r="AK41" s="417" t="s">
        <v>48</v>
      </c>
      <c r="AL41" s="228"/>
      <c r="AM41" s="490">
        <f t="shared" si="14"/>
        <v>-91</v>
      </c>
      <c r="AN41" s="491">
        <f t="shared" si="15"/>
        <v>82</v>
      </c>
      <c r="AO41" s="502">
        <f t="shared" si="16"/>
        <v>2.3796536054379341E-2</v>
      </c>
      <c r="AP41" s="511">
        <f>AO41-AO86</f>
        <v>1.1409482920928526E-2</v>
      </c>
      <c r="AQ41" s="437">
        <f t="shared" si="17"/>
        <v>0.97926634768740028</v>
      </c>
      <c r="AR41" s="528" t="s">
        <v>337</v>
      </c>
      <c r="AS41" s="535">
        <f>AQ41-AQ86</f>
        <v>-3.4100550494060911E-2</v>
      </c>
      <c r="AT41" s="437">
        <f t="shared" si="18"/>
        <v>1.0838445807770962</v>
      </c>
      <c r="AU41" s="524" t="s">
        <v>334</v>
      </c>
      <c r="AV41" s="704">
        <f>AT41-AT86</f>
        <v>4.945271984049926E-3</v>
      </c>
    </row>
    <row r="42" spans="1:48" s="4" customFormat="1" ht="14" x14ac:dyDescent="0.3">
      <c r="A42" s="95" t="s">
        <v>47</v>
      </c>
      <c r="B42" s="140" t="s">
        <v>49</v>
      </c>
      <c r="D42" s="463">
        <v>4958</v>
      </c>
      <c r="E42" s="466">
        <v>866</v>
      </c>
      <c r="G42" s="437">
        <f t="shared" si="13"/>
        <v>0.17466720451795079</v>
      </c>
      <c r="H42" s="710">
        <f>G42-G86</f>
        <v>-1.6881213956295132E-2</v>
      </c>
      <c r="K42" s="417" t="s">
        <v>49</v>
      </c>
      <c r="M42" s="419">
        <v>4843</v>
      </c>
      <c r="N42" s="13">
        <f t="shared" si="6"/>
        <v>951</v>
      </c>
      <c r="O42" s="472">
        <v>843</v>
      </c>
      <c r="P42" s="473">
        <v>108</v>
      </c>
      <c r="R42" s="479">
        <f t="shared" si="7"/>
        <v>0.19636588891183152</v>
      </c>
      <c r="S42" s="745">
        <f>R42-R86</f>
        <v>-5.010089324979039E-3</v>
      </c>
      <c r="T42" s="440">
        <f t="shared" si="8"/>
        <v>0.1740656617798885</v>
      </c>
      <c r="U42" s="438">
        <f t="shared" si="9"/>
        <v>2.2300227131943011E-2</v>
      </c>
      <c r="V42" s="704">
        <f>U42-U86</f>
        <v>-5.2463662699944319E-3</v>
      </c>
      <c r="X42" s="131" t="s">
        <v>49</v>
      </c>
      <c r="Z42" s="419">
        <v>4733</v>
      </c>
      <c r="AA42" s="426">
        <v>957</v>
      </c>
      <c r="AB42" s="423">
        <v>856</v>
      </c>
      <c r="AC42" s="434">
        <v>101</v>
      </c>
      <c r="AE42" s="437">
        <f t="shared" si="10"/>
        <v>0.20219733784069302</v>
      </c>
      <c r="AF42" s="710">
        <f>AE42-AE86</f>
        <v>-1.7381337670037134E-3</v>
      </c>
      <c r="AG42" s="440">
        <f t="shared" si="11"/>
        <v>0.180857806887809</v>
      </c>
      <c r="AH42" s="438">
        <f t="shared" si="12"/>
        <v>2.1339530952884007E-2</v>
      </c>
      <c r="AI42" s="754">
        <f>AH42-AH86</f>
        <v>-7.2927400890859563E-3</v>
      </c>
      <c r="AK42" s="417" t="s">
        <v>49</v>
      </c>
      <c r="AL42" s="228"/>
      <c r="AM42" s="490">
        <f t="shared" si="14"/>
        <v>-225</v>
      </c>
      <c r="AN42" s="491">
        <f t="shared" si="15"/>
        <v>91</v>
      </c>
      <c r="AO42" s="502">
        <f t="shared" si="16"/>
        <v>2.7530133322742234E-2</v>
      </c>
      <c r="AP42" s="511">
        <f>AO42-AO86</f>
        <v>1.5143080189291419E-2</v>
      </c>
      <c r="AQ42" s="437">
        <f t="shared" si="17"/>
        <v>0.95461879790238002</v>
      </c>
      <c r="AR42" s="528" t="s">
        <v>337</v>
      </c>
      <c r="AS42" s="536">
        <f>AQ42-AQ86</f>
        <v>-5.8748100279081172E-2</v>
      </c>
      <c r="AT42" s="437">
        <f t="shared" si="18"/>
        <v>1.1050808314087759</v>
      </c>
      <c r="AU42" s="530" t="s">
        <v>335</v>
      </c>
      <c r="AV42" s="704">
        <f>AT42-AT86</f>
        <v>2.6181522615729591E-2</v>
      </c>
    </row>
    <row r="43" spans="1:48" s="4" customFormat="1" ht="14" x14ac:dyDescent="0.3">
      <c r="A43" s="95" t="s">
        <v>47</v>
      </c>
      <c r="B43" s="140" t="s">
        <v>50</v>
      </c>
      <c r="D43" s="463">
        <v>5566</v>
      </c>
      <c r="E43" s="465">
        <v>1023</v>
      </c>
      <c r="G43" s="437">
        <f t="shared" si="13"/>
        <v>0.18379446640316205</v>
      </c>
      <c r="H43" s="710">
        <f>G43-G86</f>
        <v>-7.7539520710838694E-3</v>
      </c>
      <c r="K43" s="417" t="s">
        <v>50</v>
      </c>
      <c r="M43" s="419">
        <v>5649</v>
      </c>
      <c r="N43" s="13">
        <f t="shared" si="6"/>
        <v>1139</v>
      </c>
      <c r="O43" s="472">
        <v>986</v>
      </c>
      <c r="P43" s="473">
        <v>153</v>
      </c>
      <c r="R43" s="479">
        <f t="shared" si="7"/>
        <v>0.2016286068330678</v>
      </c>
      <c r="S43" s="741">
        <f>R43-R86</f>
        <v>2.5262859625724277E-4</v>
      </c>
      <c r="T43" s="440">
        <f t="shared" si="8"/>
        <v>0.17454416710922288</v>
      </c>
      <c r="U43" s="438">
        <f t="shared" si="9"/>
        <v>2.7084439723844927E-2</v>
      </c>
      <c r="V43" s="706">
        <f>U43-U86</f>
        <v>-4.6215367809251603E-4</v>
      </c>
      <c r="X43" s="131" t="s">
        <v>50</v>
      </c>
      <c r="Z43" s="419">
        <v>5639</v>
      </c>
      <c r="AA43" s="425">
        <v>1164</v>
      </c>
      <c r="AB43" s="422">
        <v>1011</v>
      </c>
      <c r="AC43" s="434">
        <v>153</v>
      </c>
      <c r="AE43" s="437">
        <f t="shared" si="10"/>
        <v>0.20641957793935095</v>
      </c>
      <c r="AF43" s="711">
        <f>AE43-AE86</f>
        <v>2.4841063316542178E-3</v>
      </c>
      <c r="AG43" s="440">
        <f t="shared" si="11"/>
        <v>0.17928710764319916</v>
      </c>
      <c r="AH43" s="438">
        <f t="shared" si="12"/>
        <v>2.71324702961518E-2</v>
      </c>
      <c r="AI43" s="754">
        <f>AH43-AH86</f>
        <v>-1.4998007458181632E-3</v>
      </c>
      <c r="AK43" s="417" t="s">
        <v>50</v>
      </c>
      <c r="AL43" s="228"/>
      <c r="AM43" s="490">
        <f t="shared" si="14"/>
        <v>73</v>
      </c>
      <c r="AN43" s="491">
        <f t="shared" si="15"/>
        <v>141</v>
      </c>
      <c r="AO43" s="502">
        <f t="shared" si="16"/>
        <v>2.2625111536188902E-2</v>
      </c>
      <c r="AP43" s="511">
        <f>AO43-AO86</f>
        <v>1.0238058402738087E-2</v>
      </c>
      <c r="AQ43" s="437">
        <f t="shared" si="17"/>
        <v>1.013115343154869</v>
      </c>
      <c r="AR43" s="526" t="s">
        <v>333</v>
      </c>
      <c r="AS43" s="539">
        <f>AQ43-AQ86</f>
        <v>-2.5155502659224283E-4</v>
      </c>
      <c r="AT43" s="437">
        <f t="shared" si="18"/>
        <v>1.1378299120234605</v>
      </c>
      <c r="AU43" s="530" t="s">
        <v>335</v>
      </c>
      <c r="AV43" s="705">
        <f>AT43-AT86</f>
        <v>5.8930603230414214E-2</v>
      </c>
    </row>
    <row r="44" spans="1:48" s="4" customFormat="1" ht="14" x14ac:dyDescent="0.3">
      <c r="A44" s="95" t="s">
        <v>47</v>
      </c>
      <c r="B44" s="140" t="s">
        <v>51</v>
      </c>
      <c r="D44" s="463">
        <v>15613</v>
      </c>
      <c r="E44" s="465">
        <v>3147</v>
      </c>
      <c r="G44" s="437">
        <f t="shared" si="13"/>
        <v>0.20156280023057707</v>
      </c>
      <c r="H44" s="711">
        <f>G44-G86</f>
        <v>1.0014381756331153E-2</v>
      </c>
      <c r="K44" s="417" t="s">
        <v>51</v>
      </c>
      <c r="M44" s="419">
        <v>15134</v>
      </c>
      <c r="N44" s="13">
        <f t="shared" si="6"/>
        <v>3281</v>
      </c>
      <c r="O44" s="472">
        <v>2825</v>
      </c>
      <c r="P44" s="473">
        <v>456</v>
      </c>
      <c r="R44" s="479">
        <f t="shared" si="7"/>
        <v>0.21679661688912383</v>
      </c>
      <c r="S44" s="741">
        <f>R44-R86</f>
        <v>1.5420638652313273E-2</v>
      </c>
      <c r="T44" s="440">
        <f t="shared" si="8"/>
        <v>0.18666578564820932</v>
      </c>
      <c r="U44" s="438">
        <f t="shared" si="9"/>
        <v>3.0130831240914497E-2</v>
      </c>
      <c r="V44" s="706">
        <f>U44-U86</f>
        <v>2.5842378389770541E-3</v>
      </c>
      <c r="X44" s="131" t="s">
        <v>51</v>
      </c>
      <c r="Z44" s="419">
        <v>15091</v>
      </c>
      <c r="AA44" s="425">
        <v>3287</v>
      </c>
      <c r="AB44" s="422">
        <v>2844</v>
      </c>
      <c r="AC44" s="434">
        <v>443</v>
      </c>
      <c r="AE44" s="437">
        <f t="shared" si="10"/>
        <v>0.21781194089192235</v>
      </c>
      <c r="AF44" s="711">
        <f>AE44-AE86</f>
        <v>1.3876469284225618E-2</v>
      </c>
      <c r="AG44" s="440">
        <f t="shared" si="11"/>
        <v>0.18845669604399973</v>
      </c>
      <c r="AH44" s="438">
        <f t="shared" si="12"/>
        <v>2.9355244847922603E-2</v>
      </c>
      <c r="AI44" s="752">
        <f>AH44-AH86</f>
        <v>7.2297380595263971E-4</v>
      </c>
      <c r="AK44" s="417" t="s">
        <v>51</v>
      </c>
      <c r="AL44" s="228"/>
      <c r="AM44" s="490">
        <f t="shared" si="14"/>
        <v>-522</v>
      </c>
      <c r="AN44" s="491">
        <f t="shared" si="15"/>
        <v>140</v>
      </c>
      <c r="AO44" s="502">
        <f t="shared" si="16"/>
        <v>1.6249140661345279E-2</v>
      </c>
      <c r="AP44" s="511">
        <f>AO44-AO86</f>
        <v>3.8620875278944644E-3</v>
      </c>
      <c r="AQ44" s="437">
        <f t="shared" si="17"/>
        <v>0.96656632293601485</v>
      </c>
      <c r="AR44" s="528" t="s">
        <v>337</v>
      </c>
      <c r="AS44" s="535">
        <f>AQ44-AQ86</f>
        <v>-4.6800575245446341E-2</v>
      </c>
      <c r="AT44" s="437">
        <f t="shared" si="18"/>
        <v>1.0444868128376232</v>
      </c>
      <c r="AU44" s="526" t="s">
        <v>333</v>
      </c>
      <c r="AV44" s="706">
        <f>AT44-AT86</f>
        <v>-3.4412495955423061E-2</v>
      </c>
    </row>
    <row r="45" spans="1:48" s="4" customFormat="1" ht="14" x14ac:dyDescent="0.3">
      <c r="A45" s="95" t="s">
        <v>47</v>
      </c>
      <c r="B45" s="140" t="s">
        <v>52</v>
      </c>
      <c r="D45" s="463">
        <v>11252</v>
      </c>
      <c r="E45" s="465">
        <v>2515</v>
      </c>
      <c r="G45" s="437">
        <f t="shared" si="13"/>
        <v>0.22351581940988269</v>
      </c>
      <c r="H45" s="711">
        <f>G45-G86</f>
        <v>3.1967400935636769E-2</v>
      </c>
      <c r="K45" s="417" t="s">
        <v>52</v>
      </c>
      <c r="M45" s="419">
        <v>10626</v>
      </c>
      <c r="N45" s="13">
        <f t="shared" si="6"/>
        <v>2616</v>
      </c>
      <c r="O45" s="472">
        <v>2240</v>
      </c>
      <c r="P45" s="473">
        <v>376</v>
      </c>
      <c r="R45" s="479">
        <f t="shared" si="7"/>
        <v>0.24618859401468096</v>
      </c>
      <c r="S45" s="741">
        <f>R45-R86</f>
        <v>4.4812615777870407E-2</v>
      </c>
      <c r="T45" s="440">
        <f t="shared" si="8"/>
        <v>0.21080368906455862</v>
      </c>
      <c r="U45" s="438">
        <f t="shared" si="9"/>
        <v>3.5384904950122344E-2</v>
      </c>
      <c r="V45" s="706">
        <f>U45-U86</f>
        <v>7.8383115481849008E-3</v>
      </c>
      <c r="X45" s="131" t="s">
        <v>52</v>
      </c>
      <c r="Z45" s="419">
        <v>10559</v>
      </c>
      <c r="AA45" s="425">
        <v>2655</v>
      </c>
      <c r="AB45" s="422">
        <v>2262</v>
      </c>
      <c r="AC45" s="434">
        <v>393</v>
      </c>
      <c r="AE45" s="437">
        <f t="shared" si="10"/>
        <v>0.25144426555545035</v>
      </c>
      <c r="AF45" s="711">
        <f>AE45-AE86</f>
        <v>4.7508793947753619E-2</v>
      </c>
      <c r="AG45" s="440">
        <f t="shared" si="11"/>
        <v>0.21422483189695993</v>
      </c>
      <c r="AH45" s="438">
        <f t="shared" si="12"/>
        <v>3.721943365849039E-2</v>
      </c>
      <c r="AI45" s="752">
        <f>AH45-AH86</f>
        <v>8.5871626165204273E-3</v>
      </c>
      <c r="AK45" s="417" t="s">
        <v>52</v>
      </c>
      <c r="AL45" s="228"/>
      <c r="AM45" s="490">
        <f t="shared" si="14"/>
        <v>-693</v>
      </c>
      <c r="AN45" s="491">
        <f t="shared" si="15"/>
        <v>140</v>
      </c>
      <c r="AO45" s="502">
        <f t="shared" si="16"/>
        <v>2.7928446145567665E-2</v>
      </c>
      <c r="AP45" s="511">
        <f>AO45-AO86</f>
        <v>1.554139301211685E-2</v>
      </c>
      <c r="AQ45" s="437">
        <f t="shared" si="17"/>
        <v>0.938410949164593</v>
      </c>
      <c r="AR45" s="531" t="s">
        <v>339</v>
      </c>
      <c r="AS45" s="536">
        <f>AQ45-AQ86</f>
        <v>-7.4955949016868195E-2</v>
      </c>
      <c r="AT45" s="437">
        <f t="shared" si="18"/>
        <v>1.0556660039761432</v>
      </c>
      <c r="AU45" s="524" t="s">
        <v>334</v>
      </c>
      <c r="AV45" s="706">
        <f>AT45-AT86</f>
        <v>-2.3233304816903111E-2</v>
      </c>
    </row>
    <row r="46" spans="1:48" s="4" customFormat="1" ht="14" x14ac:dyDescent="0.3">
      <c r="A46" s="95" t="s">
        <v>47</v>
      </c>
      <c r="B46" s="140" t="s">
        <v>53</v>
      </c>
      <c r="D46" s="463">
        <v>6919</v>
      </c>
      <c r="E46" s="465">
        <v>1377</v>
      </c>
      <c r="G46" s="437">
        <f t="shared" si="13"/>
        <v>0.19901719901719903</v>
      </c>
      <c r="H46" s="711">
        <f>G46-G86</f>
        <v>7.4687805429531073E-3</v>
      </c>
      <c r="K46" s="417" t="s">
        <v>53</v>
      </c>
      <c r="M46" s="419">
        <v>6764</v>
      </c>
      <c r="N46" s="13">
        <f t="shared" si="6"/>
        <v>1399</v>
      </c>
      <c r="O46" s="472">
        <v>1213</v>
      </c>
      <c r="P46" s="473">
        <v>186</v>
      </c>
      <c r="R46" s="479">
        <f t="shared" si="7"/>
        <v>0.20683027794204611</v>
      </c>
      <c r="S46" s="741">
        <f>R46-R86</f>
        <v>5.4542997052355602E-3</v>
      </c>
      <c r="T46" s="440">
        <f t="shared" si="8"/>
        <v>0.1793317563571851</v>
      </c>
      <c r="U46" s="438">
        <f t="shared" si="9"/>
        <v>2.7498521584861029E-2</v>
      </c>
      <c r="V46" s="706">
        <f>U46-U86</f>
        <v>-4.8071817076413698E-5</v>
      </c>
      <c r="X46" s="131" t="s">
        <v>53</v>
      </c>
      <c r="Z46" s="419">
        <v>6791</v>
      </c>
      <c r="AA46" s="425">
        <v>1438</v>
      </c>
      <c r="AB46" s="422">
        <v>1244</v>
      </c>
      <c r="AC46" s="434">
        <v>194</v>
      </c>
      <c r="AE46" s="437">
        <f t="shared" si="10"/>
        <v>0.21175084670887939</v>
      </c>
      <c r="AF46" s="711">
        <f>AE46-AE86</f>
        <v>7.8153751011826589E-3</v>
      </c>
      <c r="AG46" s="440">
        <f t="shared" si="11"/>
        <v>0.18318362538654101</v>
      </c>
      <c r="AH46" s="438">
        <f t="shared" si="12"/>
        <v>2.8567221322338389E-2</v>
      </c>
      <c r="AI46" s="752">
        <f>AH46-AH86</f>
        <v>-6.5049719631574132E-5</v>
      </c>
      <c r="AK46" s="417" t="s">
        <v>53</v>
      </c>
      <c r="AL46" s="228"/>
      <c r="AM46" s="490">
        <f t="shared" si="14"/>
        <v>-128</v>
      </c>
      <c r="AN46" s="491">
        <f t="shared" si="15"/>
        <v>61</v>
      </c>
      <c r="AO46" s="502">
        <f t="shared" si="16"/>
        <v>1.2733647691680366E-2</v>
      </c>
      <c r="AP46" s="511">
        <f>AO46-AO86</f>
        <v>3.4659455822955154E-4</v>
      </c>
      <c r="AQ46" s="437">
        <f t="shared" si="17"/>
        <v>0.98150021679433441</v>
      </c>
      <c r="AR46" s="528" t="s">
        <v>337</v>
      </c>
      <c r="AS46" s="535">
        <f>AQ46-AQ86</f>
        <v>-3.1866681387126783E-2</v>
      </c>
      <c r="AT46" s="437">
        <f t="shared" si="18"/>
        <v>1.0442992011619463</v>
      </c>
      <c r="AU46" s="526" t="s">
        <v>333</v>
      </c>
      <c r="AV46" s="706">
        <f>AT46-AT86</f>
        <v>-3.4600107631099997E-2</v>
      </c>
    </row>
    <row r="47" spans="1:48" s="4" customFormat="1" ht="14" x14ac:dyDescent="0.3">
      <c r="A47" s="95" t="s">
        <v>47</v>
      </c>
      <c r="B47" s="140" t="s">
        <v>54</v>
      </c>
      <c r="D47" s="463">
        <v>5981</v>
      </c>
      <c r="E47" s="465">
        <v>1454</v>
      </c>
      <c r="G47" s="437">
        <f t="shared" si="13"/>
        <v>0.24310316000668786</v>
      </c>
      <c r="H47" s="713">
        <f>G47-G86</f>
        <v>5.1554741532441939E-2</v>
      </c>
      <c r="K47" s="417" t="s">
        <v>54</v>
      </c>
      <c r="M47" s="419">
        <v>5720</v>
      </c>
      <c r="N47" s="13">
        <f t="shared" si="6"/>
        <v>1497</v>
      </c>
      <c r="O47" s="472">
        <v>1275</v>
      </c>
      <c r="P47" s="473">
        <v>222</v>
      </c>
      <c r="R47" s="479">
        <f t="shared" si="7"/>
        <v>0.2617132867132867</v>
      </c>
      <c r="S47" s="743">
        <f>R47-R86</f>
        <v>6.0337308476476142E-2</v>
      </c>
      <c r="T47" s="440">
        <f t="shared" si="8"/>
        <v>0.22290209790209789</v>
      </c>
      <c r="U47" s="438">
        <f t="shared" si="9"/>
        <v>3.8811188811188814E-2</v>
      </c>
      <c r="V47" s="706">
        <f>U47-U86</f>
        <v>1.1264595409251371E-2</v>
      </c>
      <c r="X47" s="131" t="s">
        <v>54</v>
      </c>
      <c r="Z47" s="419">
        <v>5631</v>
      </c>
      <c r="AA47" s="425">
        <v>1507</v>
      </c>
      <c r="AB47" s="422">
        <v>1264</v>
      </c>
      <c r="AC47" s="434">
        <v>243</v>
      </c>
      <c r="AE47" s="437">
        <f t="shared" si="10"/>
        <v>0.26762564375776948</v>
      </c>
      <c r="AF47" s="713">
        <f>AE47-AE86</f>
        <v>6.3690172150072749E-2</v>
      </c>
      <c r="AG47" s="440">
        <f t="shared" si="11"/>
        <v>0.22447167465814244</v>
      </c>
      <c r="AH47" s="438">
        <f t="shared" si="12"/>
        <v>4.3153969099627064E-2</v>
      </c>
      <c r="AI47" s="752">
        <f>AH47-AH86</f>
        <v>1.4521698057657101E-2</v>
      </c>
      <c r="AK47" s="417" t="s">
        <v>54</v>
      </c>
      <c r="AL47" s="228"/>
      <c r="AM47" s="490">
        <f t="shared" si="14"/>
        <v>-350</v>
      </c>
      <c r="AN47" s="491">
        <f t="shared" si="15"/>
        <v>53</v>
      </c>
      <c r="AO47" s="502">
        <f t="shared" si="16"/>
        <v>2.4522483751081625E-2</v>
      </c>
      <c r="AP47" s="511">
        <f>AO47-AO86</f>
        <v>1.213543061763081E-2</v>
      </c>
      <c r="AQ47" s="437">
        <f t="shared" si="17"/>
        <v>0.94148135763250296</v>
      </c>
      <c r="AR47" s="531" t="s">
        <v>339</v>
      </c>
      <c r="AS47" s="536">
        <f>AQ47-AQ86</f>
        <v>-7.1885540548958238E-2</v>
      </c>
      <c r="AT47" s="437">
        <f t="shared" si="18"/>
        <v>1.0364511691884457</v>
      </c>
      <c r="AU47" s="526" t="s">
        <v>333</v>
      </c>
      <c r="AV47" s="706">
        <f>AT47-AT86</f>
        <v>-4.2448139604600588E-2</v>
      </c>
    </row>
    <row r="48" spans="1:48" s="4" customFormat="1" ht="14" x14ac:dyDescent="0.3">
      <c r="A48" s="95" t="s">
        <v>47</v>
      </c>
      <c r="B48" s="140" t="s">
        <v>55</v>
      </c>
      <c r="D48" s="463">
        <v>6016</v>
      </c>
      <c r="E48" s="465">
        <v>1342</v>
      </c>
      <c r="G48" s="437">
        <f t="shared" si="13"/>
        <v>0.22307180851063829</v>
      </c>
      <c r="H48" s="711">
        <f>G48-G86</f>
        <v>3.1523390036392374E-2</v>
      </c>
      <c r="K48" s="417" t="s">
        <v>55</v>
      </c>
      <c r="M48" s="419">
        <v>5679</v>
      </c>
      <c r="N48" s="13">
        <f t="shared" si="6"/>
        <v>1341</v>
      </c>
      <c r="O48" s="472">
        <v>1171</v>
      </c>
      <c r="P48" s="473">
        <v>170</v>
      </c>
      <c r="R48" s="479">
        <f t="shared" si="7"/>
        <v>0.23613312202852615</v>
      </c>
      <c r="S48" s="741">
        <f>R48-R86</f>
        <v>3.47571437917156E-2</v>
      </c>
      <c r="T48" s="440">
        <f t="shared" si="8"/>
        <v>0.20619827434407467</v>
      </c>
      <c r="U48" s="438">
        <f t="shared" si="9"/>
        <v>2.9934847684451489E-2</v>
      </c>
      <c r="V48" s="706">
        <f>U48-U86</f>
        <v>2.3882542825140463E-3</v>
      </c>
      <c r="X48" s="131" t="s">
        <v>55</v>
      </c>
      <c r="Z48" s="419">
        <v>5586</v>
      </c>
      <c r="AA48" s="425">
        <v>1354</v>
      </c>
      <c r="AB48" s="422">
        <v>1174</v>
      </c>
      <c r="AC48" s="434">
        <v>180</v>
      </c>
      <c r="AE48" s="437">
        <f t="shared" si="10"/>
        <v>0.24239169351951306</v>
      </c>
      <c r="AF48" s="711">
        <f>AE48-AE86</f>
        <v>3.845622191181633E-2</v>
      </c>
      <c r="AG48" s="440">
        <f t="shared" si="11"/>
        <v>0.21016827783745076</v>
      </c>
      <c r="AH48" s="438">
        <f t="shared" si="12"/>
        <v>3.2223415682062301E-2</v>
      </c>
      <c r="AI48" s="752">
        <f>AH48-AH86</f>
        <v>3.5911446400923377E-3</v>
      </c>
      <c r="AK48" s="417" t="s">
        <v>55</v>
      </c>
      <c r="AL48" s="228"/>
      <c r="AM48" s="490">
        <f t="shared" si="14"/>
        <v>-430</v>
      </c>
      <c r="AN48" s="491">
        <f t="shared" si="15"/>
        <v>12</v>
      </c>
      <c r="AO48" s="502">
        <f t="shared" si="16"/>
        <v>1.9319885008874771E-2</v>
      </c>
      <c r="AP48" s="511">
        <f>AO48-AO86</f>
        <v>6.932831875423956E-3</v>
      </c>
      <c r="AQ48" s="437">
        <f t="shared" si="17"/>
        <v>0.92852393617021278</v>
      </c>
      <c r="AR48" s="531" t="s">
        <v>339</v>
      </c>
      <c r="AS48" s="536">
        <f>AQ48-AQ86</f>
        <v>-8.4842962011248413E-2</v>
      </c>
      <c r="AT48" s="437">
        <f t="shared" si="18"/>
        <v>1.0089418777943369</v>
      </c>
      <c r="AU48" s="526" t="s">
        <v>333</v>
      </c>
      <c r="AV48" s="707">
        <f>AT48-AT86</f>
        <v>-6.9957430998709436E-2</v>
      </c>
    </row>
    <row r="49" spans="1:48" s="4" customFormat="1" ht="14" x14ac:dyDescent="0.3">
      <c r="A49" s="95" t="s">
        <v>56</v>
      </c>
      <c r="B49" s="140" t="s">
        <v>57</v>
      </c>
      <c r="D49" s="463">
        <v>4864</v>
      </c>
      <c r="E49" s="465">
        <v>1076</v>
      </c>
      <c r="G49" s="437">
        <f t="shared" si="13"/>
        <v>0.22121710526315788</v>
      </c>
      <c r="H49" s="711">
        <f>G49-G86</f>
        <v>2.9668686788911963E-2</v>
      </c>
      <c r="K49" s="417" t="s">
        <v>57</v>
      </c>
      <c r="M49" s="419">
        <v>4811</v>
      </c>
      <c r="N49" s="13">
        <f t="shared" si="6"/>
        <v>1085</v>
      </c>
      <c r="O49" s="472">
        <v>924</v>
      </c>
      <c r="P49" s="473">
        <v>161</v>
      </c>
      <c r="R49" s="479">
        <f t="shared" si="7"/>
        <v>0.22552483891082936</v>
      </c>
      <c r="S49" s="741">
        <f>R49-R86</f>
        <v>2.4148860674018807E-2</v>
      </c>
      <c r="T49" s="440">
        <f t="shared" si="8"/>
        <v>0.1920598628143837</v>
      </c>
      <c r="U49" s="438">
        <f t="shared" si="9"/>
        <v>3.3464976096445644E-2</v>
      </c>
      <c r="V49" s="706">
        <f>U49-U86</f>
        <v>5.9183826945082008E-3</v>
      </c>
      <c r="X49" s="131" t="s">
        <v>57</v>
      </c>
      <c r="Z49" s="419">
        <v>4787</v>
      </c>
      <c r="AA49" s="425">
        <v>1103</v>
      </c>
      <c r="AB49" s="423">
        <v>944</v>
      </c>
      <c r="AC49" s="434">
        <v>159</v>
      </c>
      <c r="AE49" s="437">
        <f t="shared" si="10"/>
        <v>0.23041570921245039</v>
      </c>
      <c r="AF49" s="711">
        <f>AE49-AE86</f>
        <v>2.6480237604753654E-2</v>
      </c>
      <c r="AG49" s="440">
        <f t="shared" si="11"/>
        <v>0.19720075203676624</v>
      </c>
      <c r="AH49" s="438">
        <f t="shared" si="12"/>
        <v>3.3214957175684144E-2</v>
      </c>
      <c r="AI49" s="752">
        <f>AH49-AH86</f>
        <v>4.5826861337141811E-3</v>
      </c>
      <c r="AK49" s="417" t="s">
        <v>57</v>
      </c>
      <c r="AL49" s="228"/>
      <c r="AM49" s="490">
        <f t="shared" si="14"/>
        <v>-77</v>
      </c>
      <c r="AN49" s="491">
        <f t="shared" si="15"/>
        <v>27</v>
      </c>
      <c r="AO49" s="502">
        <f t="shared" si="16"/>
        <v>9.1986039492925054E-3</v>
      </c>
      <c r="AP49" s="511">
        <f>AO49-AO86</f>
        <v>-3.1884491841583096E-3</v>
      </c>
      <c r="AQ49" s="437">
        <f t="shared" si="17"/>
        <v>0.98416940789473684</v>
      </c>
      <c r="AR49" s="528" t="s">
        <v>337</v>
      </c>
      <c r="AS49" s="535">
        <f>AQ49-AQ86</f>
        <v>-2.9197490286724359E-2</v>
      </c>
      <c r="AT49" s="437">
        <f t="shared" si="18"/>
        <v>1.025092936802974</v>
      </c>
      <c r="AU49" s="526" t="s">
        <v>333</v>
      </c>
      <c r="AV49" s="707">
        <f>AT49-AT86</f>
        <v>-5.3806371990072321E-2</v>
      </c>
    </row>
    <row r="50" spans="1:48" s="4" customFormat="1" ht="14" x14ac:dyDescent="0.3">
      <c r="A50" s="95" t="s">
        <v>56</v>
      </c>
      <c r="B50" s="140" t="s">
        <v>58</v>
      </c>
      <c r="D50" s="463">
        <v>14273</v>
      </c>
      <c r="E50" s="465">
        <v>2996</v>
      </c>
      <c r="G50" s="437">
        <f t="shared" si="13"/>
        <v>0.2099068170671898</v>
      </c>
      <c r="H50" s="711">
        <f>G50-G86</f>
        <v>1.8358398592943886E-2</v>
      </c>
      <c r="K50" s="417" t="s">
        <v>58</v>
      </c>
      <c r="M50" s="419">
        <v>13435</v>
      </c>
      <c r="N50" s="13">
        <f t="shared" si="6"/>
        <v>3194</v>
      </c>
      <c r="O50" s="472">
        <v>2739</v>
      </c>
      <c r="P50" s="473">
        <v>455</v>
      </c>
      <c r="R50" s="479">
        <f t="shared" si="7"/>
        <v>0.23773725344250093</v>
      </c>
      <c r="S50" s="741">
        <f>R50-R86</f>
        <v>3.636127520569038E-2</v>
      </c>
      <c r="T50" s="440">
        <f t="shared" si="8"/>
        <v>0.2038704875325642</v>
      </c>
      <c r="U50" s="438">
        <f t="shared" si="9"/>
        <v>3.386676590993673E-2</v>
      </c>
      <c r="V50" s="706">
        <f>U50-U86</f>
        <v>6.3201725079992874E-3</v>
      </c>
      <c r="X50" s="131" t="s">
        <v>58</v>
      </c>
      <c r="Z50" s="419">
        <v>13332</v>
      </c>
      <c r="AA50" s="425">
        <v>3272</v>
      </c>
      <c r="AB50" s="422">
        <v>2801</v>
      </c>
      <c r="AC50" s="434">
        <v>471</v>
      </c>
      <c r="AE50" s="437">
        <f t="shared" si="10"/>
        <v>0.24542454245424541</v>
      </c>
      <c r="AF50" s="711">
        <f>AE50-AE86</f>
        <v>4.1489070846548681E-2</v>
      </c>
      <c r="AG50" s="440">
        <f t="shared" si="11"/>
        <v>0.21009600960096009</v>
      </c>
      <c r="AH50" s="438">
        <f t="shared" si="12"/>
        <v>3.5328532853285327E-2</v>
      </c>
      <c r="AI50" s="752">
        <f>AH50-AH86</f>
        <v>6.6962618113153641E-3</v>
      </c>
      <c r="AK50" s="417" t="s">
        <v>58</v>
      </c>
      <c r="AL50" s="228"/>
      <c r="AM50" s="490">
        <f t="shared" si="14"/>
        <v>-941</v>
      </c>
      <c r="AN50" s="491">
        <f t="shared" si="15"/>
        <v>276</v>
      </c>
      <c r="AO50" s="502">
        <f t="shared" si="16"/>
        <v>3.551772538705561E-2</v>
      </c>
      <c r="AP50" s="511">
        <f>AO50-AO86</f>
        <v>2.3130672253604795E-2</v>
      </c>
      <c r="AQ50" s="437">
        <f t="shared" si="17"/>
        <v>0.93407132347789534</v>
      </c>
      <c r="AR50" s="531" t="s">
        <v>339</v>
      </c>
      <c r="AS50" s="536">
        <f>AQ50-AQ86</f>
        <v>-7.9295574703565852E-2</v>
      </c>
      <c r="AT50" s="437">
        <f t="shared" si="18"/>
        <v>1.0921228304405874</v>
      </c>
      <c r="AU50" s="524" t="s">
        <v>334</v>
      </c>
      <c r="AV50" s="704">
        <f>AT50-AT86</f>
        <v>1.3223521647541148E-2</v>
      </c>
    </row>
    <row r="51" spans="1:48" s="4" customFormat="1" ht="14" x14ac:dyDescent="0.3">
      <c r="A51" s="95" t="s">
        <v>56</v>
      </c>
      <c r="B51" s="140" t="s">
        <v>59</v>
      </c>
      <c r="D51" s="463">
        <v>6518</v>
      </c>
      <c r="E51" s="465">
        <v>1472</v>
      </c>
      <c r="G51" s="437">
        <f t="shared" si="13"/>
        <v>0.22583614605707272</v>
      </c>
      <c r="H51" s="711">
        <f>G51-G86</f>
        <v>3.4287727582826805E-2</v>
      </c>
      <c r="K51" s="417" t="s">
        <v>59</v>
      </c>
      <c r="M51" s="419">
        <v>6123</v>
      </c>
      <c r="N51" s="13">
        <f t="shared" si="6"/>
        <v>1546</v>
      </c>
      <c r="O51" s="472">
        <v>1286</v>
      </c>
      <c r="P51" s="473">
        <v>260</v>
      </c>
      <c r="R51" s="479">
        <f t="shared" si="7"/>
        <v>0.25249060917850724</v>
      </c>
      <c r="S51" s="743">
        <f>R51-R86</f>
        <v>5.1114630941696687E-2</v>
      </c>
      <c r="T51" s="440">
        <f t="shared" si="8"/>
        <v>0.21002776416789157</v>
      </c>
      <c r="U51" s="438">
        <f t="shared" si="9"/>
        <v>4.2462845010615709E-2</v>
      </c>
      <c r="V51" s="706">
        <f>U51-U86</f>
        <v>1.4916251608678266E-2</v>
      </c>
      <c r="X51" s="131" t="s">
        <v>59</v>
      </c>
      <c r="Z51" s="419">
        <v>6020</v>
      </c>
      <c r="AA51" s="425">
        <v>1596</v>
      </c>
      <c r="AB51" s="422">
        <v>1327</v>
      </c>
      <c r="AC51" s="434">
        <v>269</v>
      </c>
      <c r="AE51" s="437">
        <f t="shared" si="10"/>
        <v>0.26511627906976742</v>
      </c>
      <c r="AF51" s="713">
        <f>AE51-AE86</f>
        <v>6.1180807462070691E-2</v>
      </c>
      <c r="AG51" s="440">
        <f t="shared" si="11"/>
        <v>0.22043189368770763</v>
      </c>
      <c r="AH51" s="438">
        <f t="shared" si="12"/>
        <v>4.4684385382059801E-2</v>
      </c>
      <c r="AI51" s="752">
        <f>AH51-AH86</f>
        <v>1.6052114340089838E-2</v>
      </c>
      <c r="AK51" s="417" t="s">
        <v>59</v>
      </c>
      <c r="AL51" s="228"/>
      <c r="AM51" s="490">
        <f t="shared" si="14"/>
        <v>-498</v>
      </c>
      <c r="AN51" s="491">
        <f t="shared" si="15"/>
        <v>124</v>
      </c>
      <c r="AO51" s="502">
        <f t="shared" si="16"/>
        <v>3.9280133012694701E-2</v>
      </c>
      <c r="AP51" s="511">
        <f>AO51-AO86</f>
        <v>2.6893079879243886E-2</v>
      </c>
      <c r="AQ51" s="437">
        <f t="shared" si="17"/>
        <v>0.92359619515188707</v>
      </c>
      <c r="AR51" s="531" t="s">
        <v>339</v>
      </c>
      <c r="AS51" s="536">
        <f>AQ51-AQ86</f>
        <v>-8.9770703029574128E-2</v>
      </c>
      <c r="AT51" s="437">
        <f t="shared" si="18"/>
        <v>1.0842391304347827</v>
      </c>
      <c r="AU51" s="524" t="s">
        <v>334</v>
      </c>
      <c r="AV51" s="704">
        <f>AT51-AT86</f>
        <v>5.3398216417364086E-3</v>
      </c>
    </row>
    <row r="52" spans="1:48" s="4" customFormat="1" ht="14" x14ac:dyDescent="0.3">
      <c r="A52" s="95" t="s">
        <v>60</v>
      </c>
      <c r="B52" s="140" t="s">
        <v>61</v>
      </c>
      <c r="D52" s="463">
        <v>4985</v>
      </c>
      <c r="E52" s="466">
        <v>989</v>
      </c>
      <c r="G52" s="437">
        <f t="shared" si="13"/>
        <v>0.19839518555667002</v>
      </c>
      <c r="H52" s="711">
        <f>G52-G86</f>
        <v>6.8467670824240989E-3</v>
      </c>
      <c r="K52" s="417" t="s">
        <v>61</v>
      </c>
      <c r="M52" s="419">
        <v>5047</v>
      </c>
      <c r="N52" s="13">
        <f t="shared" si="6"/>
        <v>1021</v>
      </c>
      <c r="O52" s="472">
        <v>895</v>
      </c>
      <c r="P52" s="473">
        <v>126</v>
      </c>
      <c r="R52" s="479">
        <f t="shared" si="7"/>
        <v>0.20229839508618983</v>
      </c>
      <c r="S52" s="741">
        <f>R52-R86</f>
        <v>9.224168493792706E-4</v>
      </c>
      <c r="T52" s="440">
        <f t="shared" si="8"/>
        <v>0.17733306914999009</v>
      </c>
      <c r="U52" s="438">
        <f t="shared" si="9"/>
        <v>2.4965325936199722E-2</v>
      </c>
      <c r="V52" s="704">
        <f>U52-U86</f>
        <v>-2.5812674657377209E-3</v>
      </c>
      <c r="X52" s="131" t="s">
        <v>61</v>
      </c>
      <c r="Z52" s="419">
        <v>5020</v>
      </c>
      <c r="AA52" s="425">
        <v>1046</v>
      </c>
      <c r="AB52" s="423">
        <v>913</v>
      </c>
      <c r="AC52" s="434">
        <v>133</v>
      </c>
      <c r="AE52" s="437">
        <f t="shared" si="10"/>
        <v>0.20836653386454182</v>
      </c>
      <c r="AF52" s="711">
        <f>AE52-AE86</f>
        <v>4.4310622568450864E-3</v>
      </c>
      <c r="AG52" s="440">
        <f t="shared" si="11"/>
        <v>0.18187250996015936</v>
      </c>
      <c r="AH52" s="438">
        <f t="shared" si="12"/>
        <v>2.649402390438247E-2</v>
      </c>
      <c r="AI52" s="754">
        <f>AH52-AH86</f>
        <v>-2.1382471375874929E-3</v>
      </c>
      <c r="AK52" s="417" t="s">
        <v>61</v>
      </c>
      <c r="AL52" s="228"/>
      <c r="AM52" s="490">
        <f t="shared" si="14"/>
        <v>35</v>
      </c>
      <c r="AN52" s="491">
        <f t="shared" si="15"/>
        <v>57</v>
      </c>
      <c r="AO52" s="502">
        <f t="shared" si="16"/>
        <v>9.9713483078718024E-3</v>
      </c>
      <c r="AP52" s="511">
        <f>AO52-AO86</f>
        <v>-2.4157048255790126E-3</v>
      </c>
      <c r="AQ52" s="437">
        <f t="shared" si="17"/>
        <v>1.0070210631895686</v>
      </c>
      <c r="AR52" s="526" t="s">
        <v>333</v>
      </c>
      <c r="AS52" s="535">
        <f>AQ52-AQ86</f>
        <v>-6.3458349918925627E-3</v>
      </c>
      <c r="AT52" s="437">
        <f t="shared" si="18"/>
        <v>1.0576339737108189</v>
      </c>
      <c r="AU52" s="524" t="s">
        <v>334</v>
      </c>
      <c r="AV52" s="706">
        <f>AT52-AT86</f>
        <v>-2.1265335082227388E-2</v>
      </c>
    </row>
    <row r="53" spans="1:48" s="4" customFormat="1" ht="14" x14ac:dyDescent="0.3">
      <c r="A53" s="95" t="s">
        <v>60</v>
      </c>
      <c r="B53" s="140" t="s">
        <v>62</v>
      </c>
      <c r="D53" s="464">
        <v>702</v>
      </c>
      <c r="E53" s="466">
        <v>126</v>
      </c>
      <c r="G53" s="437">
        <f t="shared" si="13"/>
        <v>0.17948717948717949</v>
      </c>
      <c r="H53" s="710">
        <f>G53-G86</f>
        <v>-1.206123898706643E-2</v>
      </c>
      <c r="K53" s="417" t="s">
        <v>62</v>
      </c>
      <c r="M53" s="419">
        <v>691</v>
      </c>
      <c r="N53" s="13">
        <f t="shared" si="6"/>
        <v>132</v>
      </c>
      <c r="O53" s="472">
        <v>114</v>
      </c>
      <c r="P53" s="473">
        <v>18</v>
      </c>
      <c r="R53" s="479">
        <f t="shared" si="7"/>
        <v>0.19102749638205499</v>
      </c>
      <c r="S53" s="745">
        <f>R53-R86</f>
        <v>-1.0348481854755565E-2</v>
      </c>
      <c r="T53" s="440">
        <f t="shared" si="8"/>
        <v>0.16497829232995659</v>
      </c>
      <c r="U53" s="438">
        <f t="shared" si="9"/>
        <v>2.6049204052098408E-2</v>
      </c>
      <c r="V53" s="704">
        <f>U53-U86</f>
        <v>-1.4973893498390345E-3</v>
      </c>
      <c r="X53" s="131" t="s">
        <v>62</v>
      </c>
      <c r="Z53" s="419">
        <v>686</v>
      </c>
      <c r="AA53" s="426">
        <v>132</v>
      </c>
      <c r="AB53" s="423">
        <v>115</v>
      </c>
      <c r="AC53" s="434">
        <v>17</v>
      </c>
      <c r="AE53" s="437">
        <f t="shared" si="10"/>
        <v>0.1924198250728863</v>
      </c>
      <c r="AF53" s="710">
        <f>AE53-AE86</f>
        <v>-1.1515646534810436E-2</v>
      </c>
      <c r="AG53" s="440">
        <f t="shared" si="11"/>
        <v>0.16763848396501457</v>
      </c>
      <c r="AH53" s="438">
        <f t="shared" si="12"/>
        <v>2.478134110787172E-2</v>
      </c>
      <c r="AI53" s="754">
        <f>AH53-AH86</f>
        <v>-3.8509299340982427E-3</v>
      </c>
      <c r="AK53" s="417" t="s">
        <v>62</v>
      </c>
      <c r="AL53" s="228"/>
      <c r="AM53" s="490">
        <f t="shared" si="14"/>
        <v>-16</v>
      </c>
      <c r="AN53" s="491">
        <f t="shared" si="15"/>
        <v>6</v>
      </c>
      <c r="AO53" s="502">
        <f t="shared" si="16"/>
        <v>1.2932645585706809E-2</v>
      </c>
      <c r="AP53" s="511">
        <f>AO53-AO86</f>
        <v>5.4559245225599406E-4</v>
      </c>
      <c r="AQ53" s="437">
        <f t="shared" si="17"/>
        <v>0.97720797720797725</v>
      </c>
      <c r="AR53" s="528" t="s">
        <v>337</v>
      </c>
      <c r="AS53" s="535">
        <f>AQ53-AQ86</f>
        <v>-3.6158920973483943E-2</v>
      </c>
      <c r="AT53" s="437">
        <f t="shared" si="18"/>
        <v>1.0476190476190477</v>
      </c>
      <c r="AU53" s="526" t="s">
        <v>333</v>
      </c>
      <c r="AV53" s="706">
        <f>AT53-AT86</f>
        <v>-3.1280261173998625E-2</v>
      </c>
    </row>
    <row r="54" spans="1:48" s="4" customFormat="1" ht="14" x14ac:dyDescent="0.3">
      <c r="A54" s="95" t="s">
        <v>60</v>
      </c>
      <c r="B54" s="140" t="s">
        <v>63</v>
      </c>
      <c r="D54" s="463">
        <v>5494</v>
      </c>
      <c r="E54" s="465">
        <v>1352</v>
      </c>
      <c r="G54" s="437">
        <f t="shared" si="13"/>
        <v>0.24608663997087732</v>
      </c>
      <c r="H54" s="713">
        <f>G54-G86</f>
        <v>5.4538221496631401E-2</v>
      </c>
      <c r="K54" s="417" t="s">
        <v>63</v>
      </c>
      <c r="M54" s="419">
        <v>5198</v>
      </c>
      <c r="N54" s="13">
        <f t="shared" si="6"/>
        <v>1359</v>
      </c>
      <c r="O54" s="472">
        <v>1180</v>
      </c>
      <c r="P54" s="473">
        <v>179</v>
      </c>
      <c r="R54" s="479">
        <f t="shared" si="7"/>
        <v>0.261446710273182</v>
      </c>
      <c r="S54" s="743">
        <f>R54-R86</f>
        <v>6.0070732036371449E-2</v>
      </c>
      <c r="T54" s="440">
        <f t="shared" si="8"/>
        <v>0.22701038861100423</v>
      </c>
      <c r="U54" s="438">
        <f t="shared" si="9"/>
        <v>3.4436321662177763E-2</v>
      </c>
      <c r="V54" s="706">
        <f>U54-U86</f>
        <v>6.8897282602403201E-3</v>
      </c>
      <c r="X54" s="131" t="s">
        <v>63</v>
      </c>
      <c r="Z54" s="419">
        <v>5167</v>
      </c>
      <c r="AA54" s="425">
        <v>1367</v>
      </c>
      <c r="AB54" s="422">
        <v>1182</v>
      </c>
      <c r="AC54" s="434">
        <v>185</v>
      </c>
      <c r="AE54" s="437">
        <f t="shared" si="10"/>
        <v>0.26456357654344881</v>
      </c>
      <c r="AF54" s="713">
        <f>AE54-AE86</f>
        <v>6.0628104935752075E-2</v>
      </c>
      <c r="AG54" s="440">
        <f t="shared" si="11"/>
        <v>0.22875943487516934</v>
      </c>
      <c r="AH54" s="438">
        <f t="shared" si="12"/>
        <v>3.5804141668279464E-2</v>
      </c>
      <c r="AI54" s="752">
        <f>AH54-AH86</f>
        <v>7.1718706263095011E-3</v>
      </c>
      <c r="AK54" s="417" t="s">
        <v>63</v>
      </c>
      <c r="AL54" s="228"/>
      <c r="AM54" s="490">
        <f t="shared" si="14"/>
        <v>-327</v>
      </c>
      <c r="AN54" s="491">
        <f t="shared" si="15"/>
        <v>15</v>
      </c>
      <c r="AO54" s="502">
        <f t="shared" si="16"/>
        <v>1.847693657257149E-2</v>
      </c>
      <c r="AP54" s="511">
        <f>AO54-AO86</f>
        <v>6.0898834391206746E-3</v>
      </c>
      <c r="AQ54" s="437">
        <f t="shared" si="17"/>
        <v>0.94048052420822714</v>
      </c>
      <c r="AR54" s="531" t="s">
        <v>339</v>
      </c>
      <c r="AS54" s="536">
        <f>AQ54-AQ86</f>
        <v>-7.2886373973234053E-2</v>
      </c>
      <c r="AT54" s="437">
        <f t="shared" si="18"/>
        <v>1.011094674556213</v>
      </c>
      <c r="AU54" s="526" t="s">
        <v>333</v>
      </c>
      <c r="AV54" s="707">
        <f>AT54-AT86</f>
        <v>-6.780463423683325E-2</v>
      </c>
    </row>
    <row r="55" spans="1:48" s="4" customFormat="1" ht="14" x14ac:dyDescent="0.3">
      <c r="A55" s="95" t="s">
        <v>60</v>
      </c>
      <c r="B55" s="140" t="s">
        <v>146</v>
      </c>
      <c r="D55" s="463">
        <v>8435</v>
      </c>
      <c r="E55" s="465">
        <v>1912</v>
      </c>
      <c r="G55" s="437">
        <f t="shared" si="13"/>
        <v>0.22667457024303497</v>
      </c>
      <c r="H55" s="711">
        <f>G55-G86</f>
        <v>3.5126151768789055E-2</v>
      </c>
      <c r="K55" s="417" t="s">
        <v>146</v>
      </c>
      <c r="M55" s="419">
        <v>7976</v>
      </c>
      <c r="N55" s="13">
        <f t="shared" si="6"/>
        <v>2008</v>
      </c>
      <c r="O55" s="472">
        <v>1752</v>
      </c>
      <c r="P55" s="473">
        <v>256</v>
      </c>
      <c r="R55" s="479">
        <f t="shared" si="7"/>
        <v>0.25175526579739216</v>
      </c>
      <c r="S55" s="741">
        <f>R55-R86</f>
        <v>5.0379287560581604E-2</v>
      </c>
      <c r="T55" s="440">
        <f t="shared" si="8"/>
        <v>0.21965897693079237</v>
      </c>
      <c r="U55" s="438">
        <f t="shared" si="9"/>
        <v>3.2096288866599799E-2</v>
      </c>
      <c r="V55" s="706">
        <f>U55-U86</f>
        <v>4.5496954646623566E-3</v>
      </c>
      <c r="X55" s="131" t="s">
        <v>146</v>
      </c>
      <c r="Z55" s="419">
        <v>7879</v>
      </c>
      <c r="AA55" s="425">
        <v>2019</v>
      </c>
      <c r="AB55" s="422">
        <v>1750</v>
      </c>
      <c r="AC55" s="434">
        <v>269</v>
      </c>
      <c r="AE55" s="437">
        <f t="shared" si="10"/>
        <v>0.25625079324787409</v>
      </c>
      <c r="AF55" s="713">
        <f>AE55-AE86</f>
        <v>5.2315321640177354E-2</v>
      </c>
      <c r="AG55" s="440">
        <f t="shared" si="11"/>
        <v>0.22210940474679527</v>
      </c>
      <c r="AH55" s="438">
        <f t="shared" si="12"/>
        <v>3.4141388501078819E-2</v>
      </c>
      <c r="AI55" s="752">
        <f>AH55-AH86</f>
        <v>5.509117459108856E-3</v>
      </c>
      <c r="AK55" s="417" t="s">
        <v>146</v>
      </c>
      <c r="AL55" s="228"/>
      <c r="AM55" s="490">
        <f t="shared" si="14"/>
        <v>-556</v>
      </c>
      <c r="AN55" s="491">
        <f t="shared" si="15"/>
        <v>107</v>
      </c>
      <c r="AO55" s="502">
        <f t="shared" si="16"/>
        <v>2.9576223004839114E-2</v>
      </c>
      <c r="AP55" s="511">
        <f>AO55-AO86</f>
        <v>1.7189169871388299E-2</v>
      </c>
      <c r="AQ55" s="437">
        <f t="shared" si="17"/>
        <v>0.93408417308832248</v>
      </c>
      <c r="AR55" s="531" t="s">
        <v>339</v>
      </c>
      <c r="AS55" s="536">
        <f>AQ55-AQ86</f>
        <v>-7.9282725093138717E-2</v>
      </c>
      <c r="AT55" s="437">
        <f t="shared" si="18"/>
        <v>1.0559623430962344</v>
      </c>
      <c r="AU55" s="524" t="s">
        <v>334</v>
      </c>
      <c r="AV55" s="706">
        <f>AT55-AT86</f>
        <v>-2.2936965696811917E-2</v>
      </c>
    </row>
    <row r="56" spans="1:48" s="4" customFormat="1" ht="14" x14ac:dyDescent="0.3">
      <c r="A56" s="95" t="s">
        <v>60</v>
      </c>
      <c r="B56" s="140" t="s">
        <v>65</v>
      </c>
      <c r="D56" s="463">
        <v>51649</v>
      </c>
      <c r="E56" s="465">
        <v>11125</v>
      </c>
      <c r="G56" s="437">
        <f t="shared" si="13"/>
        <v>0.21539623226006313</v>
      </c>
      <c r="H56" s="711">
        <f>G56-G86</f>
        <v>2.3847813785817212E-2</v>
      </c>
      <c r="K56" s="417" t="s">
        <v>65</v>
      </c>
      <c r="M56" s="419">
        <v>51874</v>
      </c>
      <c r="N56" s="13">
        <f t="shared" si="6"/>
        <v>11713</v>
      </c>
      <c r="O56" s="472">
        <v>9917</v>
      </c>
      <c r="P56" s="473">
        <v>1796</v>
      </c>
      <c r="R56" s="479">
        <f t="shared" si="7"/>
        <v>0.22579712379997688</v>
      </c>
      <c r="S56" s="741">
        <f>R56-R86</f>
        <v>2.4421145563166324E-2</v>
      </c>
      <c r="T56" s="440">
        <f t="shared" si="8"/>
        <v>0.19117476963411342</v>
      </c>
      <c r="U56" s="438">
        <f t="shared" si="9"/>
        <v>3.4622354165863435E-2</v>
      </c>
      <c r="V56" s="706">
        <f>U56-U86</f>
        <v>7.0757607639259923E-3</v>
      </c>
      <c r="X56" s="131" t="s">
        <v>65</v>
      </c>
      <c r="Z56" s="419">
        <v>51850</v>
      </c>
      <c r="AA56" s="425">
        <v>11792</v>
      </c>
      <c r="AB56" s="422">
        <v>9966</v>
      </c>
      <c r="AC56" s="435">
        <v>1826</v>
      </c>
      <c r="AE56" s="437">
        <f t="shared" si="10"/>
        <v>0.22742526518804243</v>
      </c>
      <c r="AF56" s="711">
        <f>AE56-AE86</f>
        <v>2.3489793580345697E-2</v>
      </c>
      <c r="AG56" s="440">
        <f t="shared" si="11"/>
        <v>0.19220829315332691</v>
      </c>
      <c r="AH56" s="438">
        <f t="shared" si="12"/>
        <v>3.5216972034715528E-2</v>
      </c>
      <c r="AI56" s="752">
        <f>AH56-AH86</f>
        <v>6.5847009927455652E-3</v>
      </c>
      <c r="AK56" s="417" t="s">
        <v>65</v>
      </c>
      <c r="AL56" s="228"/>
      <c r="AM56" s="490">
        <f t="shared" si="14"/>
        <v>201</v>
      </c>
      <c r="AN56" s="491">
        <f t="shared" si="15"/>
        <v>667</v>
      </c>
      <c r="AO56" s="502">
        <f t="shared" si="16"/>
        <v>1.20290329279793E-2</v>
      </c>
      <c r="AP56" s="511">
        <f>AO56-AO86</f>
        <v>-3.5802020547151536E-4</v>
      </c>
      <c r="AQ56" s="437">
        <f t="shared" si="17"/>
        <v>1.0038916532749909</v>
      </c>
      <c r="AR56" s="526" t="s">
        <v>333</v>
      </c>
      <c r="AS56" s="535">
        <f>AQ56-AQ86</f>
        <v>-9.475244906470337E-3</v>
      </c>
      <c r="AT56" s="437">
        <f t="shared" si="18"/>
        <v>1.0599550561797753</v>
      </c>
      <c r="AU56" s="524" t="s">
        <v>334</v>
      </c>
      <c r="AV56" s="706">
        <f>AT56-AT86</f>
        <v>-1.894425261327104E-2</v>
      </c>
    </row>
    <row r="57" spans="1:48" s="4" customFormat="1" ht="14" x14ac:dyDescent="0.3">
      <c r="A57" s="95" t="s">
        <v>60</v>
      </c>
      <c r="B57" s="140" t="s">
        <v>66</v>
      </c>
      <c r="D57" s="463">
        <v>4722</v>
      </c>
      <c r="E57" s="465">
        <v>1090</v>
      </c>
      <c r="G57" s="437">
        <f t="shared" si="13"/>
        <v>0.23083439220669208</v>
      </c>
      <c r="H57" s="711">
        <f>G57-G86</f>
        <v>3.9285973732446161E-2</v>
      </c>
      <c r="K57" s="417" t="s">
        <v>66</v>
      </c>
      <c r="M57" s="419">
        <v>4505</v>
      </c>
      <c r="N57" s="13">
        <f t="shared" si="6"/>
        <v>1131</v>
      </c>
      <c r="O57" s="472">
        <v>977</v>
      </c>
      <c r="P57" s="473">
        <v>154</v>
      </c>
      <c r="R57" s="479">
        <f t="shared" si="7"/>
        <v>0.25105438401775804</v>
      </c>
      <c r="S57" s="743">
        <f>R57-R86</f>
        <v>4.9678405780947482E-2</v>
      </c>
      <c r="T57" s="440">
        <f t="shared" si="8"/>
        <v>0.21687014428412874</v>
      </c>
      <c r="U57" s="438">
        <f t="shared" si="9"/>
        <v>3.4184239733629301E-2</v>
      </c>
      <c r="V57" s="706">
        <f>U57-U86</f>
        <v>6.6376463316918585E-3</v>
      </c>
      <c r="X57" s="131" t="s">
        <v>66</v>
      </c>
      <c r="Z57" s="419">
        <v>4378</v>
      </c>
      <c r="AA57" s="425">
        <v>1131</v>
      </c>
      <c r="AB57" s="423">
        <v>981</v>
      </c>
      <c r="AC57" s="434">
        <v>150</v>
      </c>
      <c r="AE57" s="437">
        <f t="shared" si="10"/>
        <v>0.25833714024668797</v>
      </c>
      <c r="AF57" s="713">
        <f>AE57-AE86</f>
        <v>5.4401668638991235E-2</v>
      </c>
      <c r="AG57" s="440">
        <f t="shared" si="11"/>
        <v>0.22407492005481955</v>
      </c>
      <c r="AH57" s="438">
        <f t="shared" si="12"/>
        <v>3.4262220191868434E-2</v>
      </c>
      <c r="AI57" s="752">
        <f>AH57-AH86</f>
        <v>5.6299491498984708E-3</v>
      </c>
      <c r="AK57" s="417" t="s">
        <v>66</v>
      </c>
      <c r="AL57" s="228"/>
      <c r="AM57" s="490">
        <f t="shared" si="14"/>
        <v>-344</v>
      </c>
      <c r="AN57" s="491">
        <f t="shared" si="15"/>
        <v>41</v>
      </c>
      <c r="AO57" s="502">
        <f t="shared" si="16"/>
        <v>2.7502748039995889E-2</v>
      </c>
      <c r="AP57" s="511">
        <f>AO57-AO86</f>
        <v>1.5115694906545074E-2</v>
      </c>
      <c r="AQ57" s="437">
        <f t="shared" si="17"/>
        <v>0.92714951291825498</v>
      </c>
      <c r="AR57" s="531" t="s">
        <v>339</v>
      </c>
      <c r="AS57" s="536">
        <f>AQ57-AQ86</f>
        <v>-8.6217385263206214E-2</v>
      </c>
      <c r="AT57" s="437">
        <f t="shared" si="18"/>
        <v>1.0376146788990825</v>
      </c>
      <c r="AU57" s="526" t="s">
        <v>333</v>
      </c>
      <c r="AV57" s="706">
        <f>AT57-AT86</f>
        <v>-4.1284629893963753E-2</v>
      </c>
    </row>
    <row r="58" spans="1:48" s="4" customFormat="1" ht="14" x14ac:dyDescent="0.3">
      <c r="A58" s="95" t="s">
        <v>60</v>
      </c>
      <c r="B58" s="140" t="s">
        <v>67</v>
      </c>
      <c r="D58" s="463">
        <v>11694</v>
      </c>
      <c r="E58" s="465">
        <v>2150</v>
      </c>
      <c r="G58" s="437">
        <f t="shared" si="13"/>
        <v>0.18385496835984266</v>
      </c>
      <c r="H58" s="710">
        <f>G58-G86</f>
        <v>-7.6934501144032552E-3</v>
      </c>
      <c r="K58" s="417" t="s">
        <v>67</v>
      </c>
      <c r="M58" s="419">
        <v>12474</v>
      </c>
      <c r="N58" s="13">
        <f t="shared" si="6"/>
        <v>2254</v>
      </c>
      <c r="O58" s="472">
        <v>1981</v>
      </c>
      <c r="P58" s="473">
        <v>273</v>
      </c>
      <c r="R58" s="479">
        <f t="shared" si="7"/>
        <v>0.18069584736251404</v>
      </c>
      <c r="S58" s="745">
        <f>R58-R86</f>
        <v>-2.0680130874296515E-2</v>
      </c>
      <c r="T58" s="440">
        <f t="shared" si="8"/>
        <v>0.15881032547699214</v>
      </c>
      <c r="U58" s="438">
        <f t="shared" si="9"/>
        <v>2.1885521885521887E-2</v>
      </c>
      <c r="V58" s="704">
        <f>U58-U86</f>
        <v>-5.6610715164155563E-3</v>
      </c>
      <c r="X58" s="131" t="s">
        <v>67</v>
      </c>
      <c r="Z58" s="419">
        <v>12572</v>
      </c>
      <c r="AA58" s="425">
        <v>2293</v>
      </c>
      <c r="AB58" s="422">
        <v>1997</v>
      </c>
      <c r="AC58" s="434">
        <v>296</v>
      </c>
      <c r="AE58" s="437">
        <f t="shared" si="10"/>
        <v>0.18238943684377984</v>
      </c>
      <c r="AF58" s="710">
        <f>AE58-AE86</f>
        <v>-2.1546034763916894E-2</v>
      </c>
      <c r="AG58" s="440">
        <f t="shared" si="11"/>
        <v>0.15884505249761374</v>
      </c>
      <c r="AH58" s="438">
        <f t="shared" si="12"/>
        <v>2.3544384346166083E-2</v>
      </c>
      <c r="AI58" s="754">
        <f>AH58-AH86</f>
        <v>-5.0878866958038796E-3</v>
      </c>
      <c r="AK58" s="417" t="s">
        <v>67</v>
      </c>
      <c r="AL58" s="228"/>
      <c r="AM58" s="490">
        <f t="shared" si="14"/>
        <v>878</v>
      </c>
      <c r="AN58" s="491">
        <f t="shared" si="15"/>
        <v>143</v>
      </c>
      <c r="AO58" s="502">
        <f t="shared" si="16"/>
        <v>-1.4655315160628235E-3</v>
      </c>
      <c r="AP58" s="511">
        <f>AO58-AO86</f>
        <v>-1.3852584649513638E-2</v>
      </c>
      <c r="AQ58" s="437">
        <f t="shared" si="17"/>
        <v>1.0750812382418333</v>
      </c>
      <c r="AR58" s="524" t="s">
        <v>334</v>
      </c>
      <c r="AS58" s="540">
        <f>AQ58-AQ86</f>
        <v>6.171434006037213E-2</v>
      </c>
      <c r="AT58" s="437">
        <f t="shared" si="18"/>
        <v>1.0665116279069768</v>
      </c>
      <c r="AU58" s="524" t="s">
        <v>334</v>
      </c>
      <c r="AV58" s="706">
        <f>AT58-AT86</f>
        <v>-1.2387680886069452E-2</v>
      </c>
    </row>
    <row r="59" spans="1:48" s="4" customFormat="1" ht="14" x14ac:dyDescent="0.3">
      <c r="A59" s="95" t="s">
        <v>68</v>
      </c>
      <c r="B59" s="140" t="s">
        <v>69</v>
      </c>
      <c r="D59" s="463">
        <v>5605</v>
      </c>
      <c r="E59" s="465">
        <v>1146</v>
      </c>
      <c r="G59" s="437">
        <f t="shared" si="13"/>
        <v>0.20446030330062445</v>
      </c>
      <c r="H59" s="711">
        <f>G59-G86</f>
        <v>1.2911884826378534E-2</v>
      </c>
      <c r="K59" s="417" t="s">
        <v>69</v>
      </c>
      <c r="M59" s="419">
        <v>5432</v>
      </c>
      <c r="N59" s="13">
        <f t="shared" si="6"/>
        <v>1214</v>
      </c>
      <c r="O59" s="472">
        <v>1061</v>
      </c>
      <c r="P59" s="473">
        <v>153</v>
      </c>
      <c r="R59" s="479">
        <f t="shared" si="7"/>
        <v>0.22349042709867453</v>
      </c>
      <c r="S59" s="741">
        <f>R59-R86</f>
        <v>2.2114448861863978E-2</v>
      </c>
      <c r="T59" s="440">
        <f t="shared" si="8"/>
        <v>0.1953240058910162</v>
      </c>
      <c r="U59" s="438">
        <f t="shared" si="9"/>
        <v>2.8166421207658322E-2</v>
      </c>
      <c r="V59" s="706">
        <f>U59-U86</f>
        <v>6.1982780572087878E-4</v>
      </c>
      <c r="X59" s="131" t="s">
        <v>69</v>
      </c>
      <c r="Z59" s="419">
        <v>5447</v>
      </c>
      <c r="AA59" s="425">
        <v>1236</v>
      </c>
      <c r="AB59" s="422">
        <v>1066</v>
      </c>
      <c r="AC59" s="434">
        <v>170</v>
      </c>
      <c r="AE59" s="437">
        <f t="shared" si="10"/>
        <v>0.22691389755828897</v>
      </c>
      <c r="AF59" s="711">
        <f>AE59-AE86</f>
        <v>2.2978425950592241E-2</v>
      </c>
      <c r="AG59" s="440">
        <f t="shared" si="11"/>
        <v>0.19570405727923629</v>
      </c>
      <c r="AH59" s="438">
        <f t="shared" si="12"/>
        <v>3.120984027905269E-2</v>
      </c>
      <c r="AI59" s="752">
        <f>AH59-AH86</f>
        <v>2.5775692370827268E-3</v>
      </c>
      <c r="AK59" s="417" t="s">
        <v>69</v>
      </c>
      <c r="AL59" s="228"/>
      <c r="AM59" s="490">
        <f t="shared" si="14"/>
        <v>-158</v>
      </c>
      <c r="AN59" s="491">
        <f t="shared" si="15"/>
        <v>90</v>
      </c>
      <c r="AO59" s="502">
        <f t="shared" si="16"/>
        <v>2.2453594257664522E-2</v>
      </c>
      <c r="AP59" s="511">
        <f>AO59-AO86</f>
        <v>1.0066541124213707E-2</v>
      </c>
      <c r="AQ59" s="437">
        <f t="shared" si="17"/>
        <v>0.97181088314005348</v>
      </c>
      <c r="AR59" s="528" t="s">
        <v>337</v>
      </c>
      <c r="AS59" s="535">
        <f>AQ59-AQ86</f>
        <v>-4.1556015041407712E-2</v>
      </c>
      <c r="AT59" s="437">
        <f t="shared" si="18"/>
        <v>1.0785340314136125</v>
      </c>
      <c r="AU59" s="524" t="s">
        <v>334</v>
      </c>
      <c r="AV59" s="704">
        <f>AT59-AT86</f>
        <v>-3.6527737943381489E-4</v>
      </c>
    </row>
    <row r="60" spans="1:48" s="4" customFormat="1" ht="14" x14ac:dyDescent="0.3">
      <c r="A60" s="95" t="s">
        <v>68</v>
      </c>
      <c r="B60" s="140" t="s">
        <v>70</v>
      </c>
      <c r="D60" s="463">
        <v>7096</v>
      </c>
      <c r="E60" s="465">
        <v>1077</v>
      </c>
      <c r="G60" s="437">
        <f t="shared" si="13"/>
        <v>0.15177564825253664</v>
      </c>
      <c r="H60" s="710">
        <f>G60-G86</f>
        <v>-3.9772770221709275E-2</v>
      </c>
      <c r="K60" s="417" t="s">
        <v>70</v>
      </c>
      <c r="M60" s="419">
        <v>7768</v>
      </c>
      <c r="N60" s="13">
        <f t="shared" si="6"/>
        <v>1224</v>
      </c>
      <c r="O60" s="472">
        <v>1092</v>
      </c>
      <c r="P60" s="473">
        <v>132</v>
      </c>
      <c r="R60" s="479">
        <f t="shared" si="7"/>
        <v>0.15756951596292482</v>
      </c>
      <c r="S60" s="745">
        <f>R60-R86</f>
        <v>-4.3806462273885738E-2</v>
      </c>
      <c r="T60" s="440">
        <f t="shared" si="8"/>
        <v>0.14057672502574664</v>
      </c>
      <c r="U60" s="438">
        <f t="shared" si="9"/>
        <v>1.6992790937178166E-2</v>
      </c>
      <c r="V60" s="704">
        <f>U60-U86</f>
        <v>-1.0553802464759277E-2</v>
      </c>
      <c r="X60" s="131" t="s">
        <v>70</v>
      </c>
      <c r="Z60" s="419">
        <v>7825</v>
      </c>
      <c r="AA60" s="425">
        <v>1261</v>
      </c>
      <c r="AB60" s="422">
        <v>1126</v>
      </c>
      <c r="AC60" s="434">
        <v>135</v>
      </c>
      <c r="AE60" s="437">
        <f t="shared" si="10"/>
        <v>0.16115015974440894</v>
      </c>
      <c r="AF60" s="710">
        <f>AE60-AE86</f>
        <v>-4.2785311863287795E-2</v>
      </c>
      <c r="AG60" s="440">
        <f t="shared" si="11"/>
        <v>0.14389776357827477</v>
      </c>
      <c r="AH60" s="438">
        <f t="shared" si="12"/>
        <v>1.7252396166134186E-2</v>
      </c>
      <c r="AI60" s="754">
        <f>AH60-AH86</f>
        <v>-1.1379874875835777E-2</v>
      </c>
      <c r="AK60" s="417" t="s">
        <v>70</v>
      </c>
      <c r="AL60" s="228"/>
      <c r="AM60" s="490">
        <f t="shared" si="14"/>
        <v>729</v>
      </c>
      <c r="AN60" s="491">
        <f t="shared" si="15"/>
        <v>184</v>
      </c>
      <c r="AO60" s="502">
        <f t="shared" si="16"/>
        <v>9.3745114918722949E-3</v>
      </c>
      <c r="AP60" s="511">
        <f>AO60-AO86</f>
        <v>-3.01254164157852E-3</v>
      </c>
      <c r="AQ60" s="437">
        <f t="shared" si="17"/>
        <v>1.1027339346110485</v>
      </c>
      <c r="AR60" s="530" t="s">
        <v>335</v>
      </c>
      <c r="AS60" s="540">
        <f>AQ60-AQ86</f>
        <v>8.9367036429587321E-2</v>
      </c>
      <c r="AT60" s="437">
        <f t="shared" si="18"/>
        <v>1.1708449396471681</v>
      </c>
      <c r="AU60" s="530" t="s">
        <v>335</v>
      </c>
      <c r="AV60" s="705">
        <f>AT60-AT86</f>
        <v>9.1945630854121774E-2</v>
      </c>
    </row>
    <row r="61" spans="1:48" s="4" customFormat="1" ht="14" x14ac:dyDescent="0.3">
      <c r="A61" s="95" t="s">
        <v>68</v>
      </c>
      <c r="B61" s="140" t="s">
        <v>71</v>
      </c>
      <c r="D61" s="463">
        <v>7739</v>
      </c>
      <c r="E61" s="465">
        <v>1693</v>
      </c>
      <c r="G61" s="437">
        <f t="shared" si="13"/>
        <v>0.21876211396821293</v>
      </c>
      <c r="H61" s="711">
        <f>G61-G86</f>
        <v>2.7213695493967016E-2</v>
      </c>
      <c r="K61" s="417" t="s">
        <v>71</v>
      </c>
      <c r="M61" s="419">
        <v>7548</v>
      </c>
      <c r="N61" s="13">
        <f t="shared" si="6"/>
        <v>1740</v>
      </c>
      <c r="O61" s="472">
        <v>1522</v>
      </c>
      <c r="P61" s="473">
        <v>218</v>
      </c>
      <c r="R61" s="479">
        <f t="shared" si="7"/>
        <v>0.23052464228934816</v>
      </c>
      <c r="S61" s="741">
        <f>R61-R86</f>
        <v>2.9148664052537604E-2</v>
      </c>
      <c r="T61" s="440">
        <f t="shared" si="8"/>
        <v>0.20164281928987812</v>
      </c>
      <c r="U61" s="438">
        <f t="shared" si="9"/>
        <v>2.8881822999470057E-2</v>
      </c>
      <c r="V61" s="706">
        <f>U61-U86</f>
        <v>1.3352295975326139E-3</v>
      </c>
      <c r="X61" s="131" t="s">
        <v>71</v>
      </c>
      <c r="Z61" s="419">
        <v>7510</v>
      </c>
      <c r="AA61" s="425">
        <v>1760</v>
      </c>
      <c r="AB61" s="422">
        <v>1532</v>
      </c>
      <c r="AC61" s="434">
        <v>228</v>
      </c>
      <c r="AE61" s="437">
        <f t="shared" si="10"/>
        <v>0.23435419440745672</v>
      </c>
      <c r="AF61" s="711">
        <f>AE61-AE86</f>
        <v>3.041872279975999E-2</v>
      </c>
      <c r="AG61" s="440">
        <f t="shared" si="11"/>
        <v>0.20399467376830893</v>
      </c>
      <c r="AH61" s="438">
        <f t="shared" si="12"/>
        <v>3.0359520639147802E-2</v>
      </c>
      <c r="AI61" s="752">
        <f>AH61-AH86</f>
        <v>1.7272495971778386E-3</v>
      </c>
      <c r="AK61" s="417" t="s">
        <v>71</v>
      </c>
      <c r="AL61" s="228"/>
      <c r="AM61" s="490">
        <f t="shared" si="14"/>
        <v>-229</v>
      </c>
      <c r="AN61" s="491">
        <f t="shared" si="15"/>
        <v>67</v>
      </c>
      <c r="AO61" s="502">
        <f t="shared" si="16"/>
        <v>1.5592080439243788E-2</v>
      </c>
      <c r="AP61" s="511">
        <f>AO61-AO86</f>
        <v>3.2050273057929735E-3</v>
      </c>
      <c r="AQ61" s="437">
        <f t="shared" si="17"/>
        <v>0.97040961364517375</v>
      </c>
      <c r="AR61" s="528" t="s">
        <v>337</v>
      </c>
      <c r="AS61" s="535">
        <f>AQ61-AQ86</f>
        <v>-4.2957284536287443E-2</v>
      </c>
      <c r="AT61" s="437">
        <f t="shared" si="18"/>
        <v>1.0395747194329592</v>
      </c>
      <c r="AU61" s="526" t="s">
        <v>333</v>
      </c>
      <c r="AV61" s="706">
        <f>AT61-AT86</f>
        <v>-3.9324589360087092E-2</v>
      </c>
    </row>
    <row r="62" spans="1:48" s="4" customFormat="1" ht="14" x14ac:dyDescent="0.3">
      <c r="A62" s="95" t="s">
        <v>68</v>
      </c>
      <c r="B62" s="140" t="s">
        <v>72</v>
      </c>
      <c r="D62" s="463">
        <v>13334</v>
      </c>
      <c r="E62" s="465">
        <v>2637</v>
      </c>
      <c r="G62" s="437">
        <f t="shared" si="13"/>
        <v>0.19776511174441277</v>
      </c>
      <c r="H62" s="711">
        <f>G62-G86</f>
        <v>6.2166932701668565E-3</v>
      </c>
      <c r="K62" s="417" t="s">
        <v>72</v>
      </c>
      <c r="M62" s="419">
        <v>13228</v>
      </c>
      <c r="N62" s="13">
        <f t="shared" si="6"/>
        <v>2824</v>
      </c>
      <c r="O62" s="472">
        <v>2458</v>
      </c>
      <c r="P62" s="473">
        <v>366</v>
      </c>
      <c r="R62" s="479">
        <f t="shared" si="7"/>
        <v>0.21348654369519202</v>
      </c>
      <c r="S62" s="741">
        <f>R62-R86</f>
        <v>1.2110565458381461E-2</v>
      </c>
      <c r="T62" s="440">
        <f t="shared" si="8"/>
        <v>0.18581796189900213</v>
      </c>
      <c r="U62" s="438">
        <f t="shared" si="9"/>
        <v>2.76685817961899E-2</v>
      </c>
      <c r="V62" s="706">
        <f>U62-U86</f>
        <v>1.2198839425245703E-4</v>
      </c>
      <c r="X62" s="131" t="s">
        <v>72</v>
      </c>
      <c r="Z62" s="419">
        <v>13204</v>
      </c>
      <c r="AA62" s="425">
        <v>2868</v>
      </c>
      <c r="AB62" s="422">
        <v>2487</v>
      </c>
      <c r="AC62" s="434">
        <v>381</v>
      </c>
      <c r="AE62" s="437">
        <f t="shared" si="10"/>
        <v>0.21720690699787942</v>
      </c>
      <c r="AF62" s="711">
        <f>AE62-AE86</f>
        <v>1.327143539018269E-2</v>
      </c>
      <c r="AG62" s="440">
        <f t="shared" si="11"/>
        <v>0.18835201454104816</v>
      </c>
      <c r="AH62" s="438">
        <f t="shared" si="12"/>
        <v>2.8854892456831264E-2</v>
      </c>
      <c r="AI62" s="752">
        <f>AH62-AH86</f>
        <v>2.226214148613008E-4</v>
      </c>
      <c r="AK62" s="417" t="s">
        <v>72</v>
      </c>
      <c r="AL62" s="228"/>
      <c r="AM62" s="490">
        <f t="shared" si="14"/>
        <v>-130</v>
      </c>
      <c r="AN62" s="491">
        <f t="shared" si="15"/>
        <v>231</v>
      </c>
      <c r="AO62" s="502">
        <f t="shared" si="16"/>
        <v>1.9441795253466648E-2</v>
      </c>
      <c r="AP62" s="511">
        <f>AO62-AO86</f>
        <v>7.0547421200158333E-3</v>
      </c>
      <c r="AQ62" s="437">
        <f t="shared" si="17"/>
        <v>0.99025048747562627</v>
      </c>
      <c r="AR62" s="528" t="s">
        <v>337</v>
      </c>
      <c r="AS62" s="535">
        <f>AQ62-AQ86</f>
        <v>-2.3116410705834922E-2</v>
      </c>
      <c r="AT62" s="437">
        <f t="shared" si="18"/>
        <v>1.0875995449374289</v>
      </c>
      <c r="AU62" s="524" t="s">
        <v>334</v>
      </c>
      <c r="AV62" s="704">
        <f>AT62-AT86</f>
        <v>8.7002361443826448E-3</v>
      </c>
    </row>
    <row r="63" spans="1:48" s="4" customFormat="1" ht="14" x14ac:dyDescent="0.3">
      <c r="A63" s="95" t="s">
        <v>73</v>
      </c>
      <c r="B63" s="140" t="s">
        <v>74</v>
      </c>
      <c r="D63" s="463">
        <v>1946</v>
      </c>
      <c r="E63" s="466">
        <v>489</v>
      </c>
      <c r="G63" s="437">
        <f t="shared" si="13"/>
        <v>0.25128468653648511</v>
      </c>
      <c r="H63" s="713">
        <f>G63-G86</f>
        <v>5.9736268062239195E-2</v>
      </c>
      <c r="K63" s="417" t="s">
        <v>74</v>
      </c>
      <c r="M63" s="419">
        <v>2080</v>
      </c>
      <c r="N63" s="13">
        <f t="shared" si="6"/>
        <v>497</v>
      </c>
      <c r="O63" s="472">
        <v>404</v>
      </c>
      <c r="P63" s="473">
        <v>93</v>
      </c>
      <c r="R63" s="479">
        <f t="shared" si="7"/>
        <v>0.2389423076923077</v>
      </c>
      <c r="S63" s="741">
        <f>R63-R86</f>
        <v>3.7566329455497149E-2</v>
      </c>
      <c r="T63" s="440">
        <f t="shared" si="8"/>
        <v>0.19423076923076923</v>
      </c>
      <c r="U63" s="438">
        <f t="shared" si="9"/>
        <v>4.4711538461538462E-2</v>
      </c>
      <c r="V63" s="706">
        <f>U63-U86</f>
        <v>1.7164945059601019E-2</v>
      </c>
      <c r="X63" s="131" t="s">
        <v>74</v>
      </c>
      <c r="Z63" s="419">
        <v>2085</v>
      </c>
      <c r="AA63" s="426">
        <v>506</v>
      </c>
      <c r="AB63" s="423">
        <v>419</v>
      </c>
      <c r="AC63" s="434">
        <v>87</v>
      </c>
      <c r="AE63" s="437">
        <f t="shared" si="10"/>
        <v>0.24268585131894485</v>
      </c>
      <c r="AF63" s="711">
        <f>AE63-AE86</f>
        <v>3.8750379711248117E-2</v>
      </c>
      <c r="AG63" s="440">
        <f t="shared" si="11"/>
        <v>0.20095923261390888</v>
      </c>
      <c r="AH63" s="438">
        <f t="shared" si="12"/>
        <v>4.1726618705035974E-2</v>
      </c>
      <c r="AI63" s="752">
        <f>AH63-AH86</f>
        <v>1.3094347663066011E-2</v>
      </c>
      <c r="AK63" s="417" t="s">
        <v>74</v>
      </c>
      <c r="AL63" s="228"/>
      <c r="AM63" s="490">
        <f t="shared" si="14"/>
        <v>139</v>
      </c>
      <c r="AN63" s="491">
        <f t="shared" si="15"/>
        <v>17</v>
      </c>
      <c r="AO63" s="502">
        <f t="shared" si="16"/>
        <v>-8.5988352175402627E-3</v>
      </c>
      <c r="AP63" s="511">
        <f>AO63-AO86</f>
        <v>-2.0985888350991078E-2</v>
      </c>
      <c r="AQ63" s="437">
        <f t="shared" si="17"/>
        <v>1.0714285714285714</v>
      </c>
      <c r="AR63" s="524" t="s">
        <v>334</v>
      </c>
      <c r="AS63" s="540">
        <f>AQ63-AQ86</f>
        <v>5.8061673247110202E-2</v>
      </c>
      <c r="AT63" s="437">
        <f t="shared" si="18"/>
        <v>1.0347648261758691</v>
      </c>
      <c r="AU63" s="526" t="s">
        <v>333</v>
      </c>
      <c r="AV63" s="706">
        <f>AT63-AT86</f>
        <v>-4.4134482617177229E-2</v>
      </c>
    </row>
    <row r="64" spans="1:48" s="4" customFormat="1" ht="14" x14ac:dyDescent="0.3">
      <c r="A64" s="96" t="s">
        <v>73</v>
      </c>
      <c r="B64" s="140" t="s">
        <v>75</v>
      </c>
      <c r="D64" s="464">
        <v>160</v>
      </c>
      <c r="E64" s="466">
        <v>32</v>
      </c>
      <c r="G64" s="437">
        <f t="shared" si="13"/>
        <v>0.2</v>
      </c>
      <c r="H64" s="711">
        <f>G64-G86</f>
        <v>8.4515815257540927E-3</v>
      </c>
      <c r="K64" s="417" t="s">
        <v>75</v>
      </c>
      <c r="M64" s="419">
        <v>173</v>
      </c>
      <c r="N64" s="13">
        <f t="shared" si="6"/>
        <v>35</v>
      </c>
      <c r="O64" s="472">
        <v>32</v>
      </c>
      <c r="P64" s="473">
        <v>3</v>
      </c>
      <c r="R64" s="479">
        <f t="shared" si="7"/>
        <v>0.20231213872832371</v>
      </c>
      <c r="S64" s="741">
        <f>R64-R86</f>
        <v>9.3616049151315495E-4</v>
      </c>
      <c r="T64" s="440">
        <f t="shared" si="8"/>
        <v>0.18497109826589594</v>
      </c>
      <c r="U64" s="438">
        <f t="shared" si="9"/>
        <v>1.7341040462427744E-2</v>
      </c>
      <c r="V64" s="704">
        <f>U64-U86</f>
        <v>-1.0205552939509699E-2</v>
      </c>
      <c r="X64" s="131" t="s">
        <v>75</v>
      </c>
      <c r="Z64" s="419">
        <v>165</v>
      </c>
      <c r="AA64" s="426">
        <v>33</v>
      </c>
      <c r="AB64" s="423">
        <v>29</v>
      </c>
      <c r="AC64" s="434">
        <v>4</v>
      </c>
      <c r="AE64" s="437">
        <f t="shared" si="10"/>
        <v>0.2</v>
      </c>
      <c r="AF64" s="710">
        <f>AE64-AE86</f>
        <v>-3.9354716076967222E-3</v>
      </c>
      <c r="AG64" s="440">
        <f t="shared" si="11"/>
        <v>0.17575757575757575</v>
      </c>
      <c r="AH64" s="438">
        <f t="shared" si="12"/>
        <v>2.4242424242424242E-2</v>
      </c>
      <c r="AI64" s="754">
        <f>AH64-AH86</f>
        <v>-4.3898467995457206E-3</v>
      </c>
      <c r="AK64" s="417" t="s">
        <v>75</v>
      </c>
      <c r="AL64" s="228"/>
      <c r="AM64" s="490">
        <f t="shared" si="14"/>
        <v>5</v>
      </c>
      <c r="AN64" s="491">
        <f t="shared" si="15"/>
        <v>1</v>
      </c>
      <c r="AO64" s="502">
        <f t="shared" si="16"/>
        <v>0</v>
      </c>
      <c r="AP64" s="511">
        <f>AO64-AO86</f>
        <v>-1.2387053133450815E-2</v>
      </c>
      <c r="AQ64" s="437">
        <f t="shared" si="17"/>
        <v>1.03125</v>
      </c>
      <c r="AR64" s="526" t="s">
        <v>333</v>
      </c>
      <c r="AS64" s="539">
        <f>AQ64-AQ86</f>
        <v>1.7883101818538805E-2</v>
      </c>
      <c r="AT64" s="437">
        <f t="shared" si="18"/>
        <v>1.03125</v>
      </c>
      <c r="AU64" s="526" t="s">
        <v>333</v>
      </c>
      <c r="AV64" s="706">
        <f>AT64-AT86</f>
        <v>-4.7649308793046297E-2</v>
      </c>
    </row>
    <row r="65" spans="1:48" s="4" customFormat="1" ht="14" x14ac:dyDescent="0.3">
      <c r="A65" s="96" t="s">
        <v>73</v>
      </c>
      <c r="B65" s="140" t="s">
        <v>76</v>
      </c>
      <c r="D65" s="463">
        <v>31819</v>
      </c>
      <c r="E65" s="465">
        <v>6725</v>
      </c>
      <c r="G65" s="437">
        <f t="shared" si="13"/>
        <v>0.21135170809893461</v>
      </c>
      <c r="H65" s="711">
        <f>G65-G86</f>
        <v>1.9803289624688691E-2</v>
      </c>
      <c r="K65" s="417" t="s">
        <v>76</v>
      </c>
      <c r="M65" s="419">
        <v>32296</v>
      </c>
      <c r="N65" s="13">
        <f t="shared" si="6"/>
        <v>6883</v>
      </c>
      <c r="O65" s="472">
        <v>5928</v>
      </c>
      <c r="P65" s="473">
        <v>955</v>
      </c>
      <c r="R65" s="479">
        <f t="shared" si="7"/>
        <v>0.21312236809512014</v>
      </c>
      <c r="S65" s="741">
        <f>R65-R86</f>
        <v>1.1746389858309586E-2</v>
      </c>
      <c r="T65" s="440">
        <f t="shared" si="8"/>
        <v>0.18355214268020809</v>
      </c>
      <c r="U65" s="438">
        <f t="shared" si="9"/>
        <v>2.9570225414912065E-2</v>
      </c>
      <c r="V65" s="706">
        <f>U65-U86</f>
        <v>2.0236320129746223E-3</v>
      </c>
      <c r="X65" s="131" t="s">
        <v>76</v>
      </c>
      <c r="Z65" s="419">
        <v>32129</v>
      </c>
      <c r="AA65" s="425">
        <v>6899</v>
      </c>
      <c r="AB65" s="422">
        <v>5938</v>
      </c>
      <c r="AC65" s="434">
        <v>961</v>
      </c>
      <c r="AE65" s="437">
        <f t="shared" si="10"/>
        <v>0.21472812723707554</v>
      </c>
      <c r="AF65" s="711">
        <f>AE65-AE86</f>
        <v>1.0792655629378811E-2</v>
      </c>
      <c r="AG65" s="440">
        <f t="shared" si="11"/>
        <v>0.18481745463599863</v>
      </c>
      <c r="AH65" s="438">
        <f t="shared" si="12"/>
        <v>2.991067260107691E-2</v>
      </c>
      <c r="AI65" s="752">
        <f>AH65-AH86</f>
        <v>1.2784015591069467E-3</v>
      </c>
      <c r="AK65" s="417" t="s">
        <v>76</v>
      </c>
      <c r="AL65" s="228"/>
      <c r="AM65" s="490">
        <f t="shared" si="14"/>
        <v>310</v>
      </c>
      <c r="AN65" s="491">
        <f t="shared" si="15"/>
        <v>174</v>
      </c>
      <c r="AO65" s="502">
        <f t="shared" si="16"/>
        <v>3.3764191381409348E-3</v>
      </c>
      <c r="AP65" s="511">
        <f>AO65-AO86</f>
        <v>-9.0106339953098802E-3</v>
      </c>
      <c r="AQ65" s="437">
        <f t="shared" si="17"/>
        <v>1.009742606618687</v>
      </c>
      <c r="AR65" s="526" t="s">
        <v>333</v>
      </c>
      <c r="AS65" s="535">
        <f>AQ65-AQ86</f>
        <v>-3.6242915627742178E-3</v>
      </c>
      <c r="AT65" s="437">
        <f t="shared" si="18"/>
        <v>1.0258736059479554</v>
      </c>
      <c r="AU65" s="526" t="s">
        <v>333</v>
      </c>
      <c r="AV65" s="707">
        <f>AT65-AT86</f>
        <v>-5.3025702845090894E-2</v>
      </c>
    </row>
    <row r="66" spans="1:48" s="4" customFormat="1" ht="14" x14ac:dyDescent="0.3">
      <c r="A66" s="95" t="s">
        <v>77</v>
      </c>
      <c r="B66" s="140" t="s">
        <v>78</v>
      </c>
      <c r="D66" s="463">
        <v>14612</v>
      </c>
      <c r="E66" s="465">
        <v>3106</v>
      </c>
      <c r="G66" s="437">
        <f t="shared" si="13"/>
        <v>0.21256501505611827</v>
      </c>
      <c r="H66" s="711">
        <f>G66-G86</f>
        <v>2.1016596581872354E-2</v>
      </c>
      <c r="K66" s="417" t="s">
        <v>78</v>
      </c>
      <c r="M66" s="419">
        <v>14707</v>
      </c>
      <c r="N66" s="13">
        <f t="shared" si="6"/>
        <v>3151</v>
      </c>
      <c r="O66" s="472">
        <v>2646</v>
      </c>
      <c r="P66" s="473">
        <v>505</v>
      </c>
      <c r="R66" s="479">
        <f t="shared" si="7"/>
        <v>0.21425171686951791</v>
      </c>
      <c r="S66" s="741">
        <f>R66-R86</f>
        <v>1.2875738632707356E-2</v>
      </c>
      <c r="T66" s="440">
        <f t="shared" si="8"/>
        <v>0.17991432651118516</v>
      </c>
      <c r="U66" s="438">
        <f t="shared" si="9"/>
        <v>3.4337390358332769E-2</v>
      </c>
      <c r="V66" s="706">
        <f>U66-U86</f>
        <v>6.7907969563953258E-3</v>
      </c>
      <c r="X66" s="131" t="s">
        <v>78</v>
      </c>
      <c r="Z66" s="419">
        <v>14660</v>
      </c>
      <c r="AA66" s="425">
        <v>3173</v>
      </c>
      <c r="AB66" s="422">
        <v>2669</v>
      </c>
      <c r="AC66" s="434">
        <v>504</v>
      </c>
      <c r="AE66" s="437">
        <f t="shared" si="10"/>
        <v>0.21643929058663028</v>
      </c>
      <c r="AF66" s="711">
        <f>AE66-AE86</f>
        <v>1.2503818978933545E-2</v>
      </c>
      <c r="AG66" s="440">
        <f t="shared" si="11"/>
        <v>0.1820600272851296</v>
      </c>
      <c r="AH66" s="438">
        <f t="shared" si="12"/>
        <v>3.4379263301500679E-2</v>
      </c>
      <c r="AI66" s="752">
        <f>AH66-AH86</f>
        <v>5.7469922595307157E-3</v>
      </c>
      <c r="AK66" s="417" t="s">
        <v>78</v>
      </c>
      <c r="AL66" s="228"/>
      <c r="AM66" s="490">
        <f t="shared" si="14"/>
        <v>48</v>
      </c>
      <c r="AN66" s="491">
        <f t="shared" si="15"/>
        <v>67</v>
      </c>
      <c r="AO66" s="502">
        <f t="shared" si="16"/>
        <v>3.8742755305120058E-3</v>
      </c>
      <c r="AP66" s="511">
        <f>AO66-AO86</f>
        <v>-8.5127776029388091E-3</v>
      </c>
      <c r="AQ66" s="437">
        <f t="shared" si="17"/>
        <v>1.0032849712565015</v>
      </c>
      <c r="AR66" s="526" t="s">
        <v>333</v>
      </c>
      <c r="AS66" s="535">
        <f>AQ66-AQ86</f>
        <v>-1.0081926924959683E-2</v>
      </c>
      <c r="AT66" s="437">
        <f t="shared" si="18"/>
        <v>1.0215711526078557</v>
      </c>
      <c r="AU66" s="526" t="s">
        <v>333</v>
      </c>
      <c r="AV66" s="707">
        <f>AT66-AT86</f>
        <v>-5.7328156185190604E-2</v>
      </c>
    </row>
    <row r="67" spans="1:48" s="4" customFormat="1" ht="14" x14ac:dyDescent="0.3">
      <c r="A67" s="95" t="s">
        <v>77</v>
      </c>
      <c r="B67" s="140" t="s">
        <v>79</v>
      </c>
      <c r="D67" s="463">
        <v>10511</v>
      </c>
      <c r="E67" s="465">
        <v>1262</v>
      </c>
      <c r="G67" s="437">
        <f t="shared" si="13"/>
        <v>0.12006469412995908</v>
      </c>
      <c r="H67" s="714">
        <f>G67-G86</f>
        <v>-7.1483724344286834E-2</v>
      </c>
      <c r="K67" s="417" t="s">
        <v>79</v>
      </c>
      <c r="M67" s="419">
        <v>13434</v>
      </c>
      <c r="N67" s="13">
        <f t="shared" si="6"/>
        <v>1525</v>
      </c>
      <c r="O67" s="472">
        <v>1343</v>
      </c>
      <c r="P67" s="473">
        <v>182</v>
      </c>
      <c r="R67" s="479">
        <f t="shared" si="7"/>
        <v>0.11351793955634956</v>
      </c>
      <c r="S67" s="746">
        <f>R67-R86</f>
        <v>-8.7858038680460993E-2</v>
      </c>
      <c r="T67" s="440">
        <f t="shared" si="8"/>
        <v>9.9970224802739316E-2</v>
      </c>
      <c r="U67" s="438">
        <f t="shared" si="9"/>
        <v>1.3547714753610243E-2</v>
      </c>
      <c r="V67" s="704">
        <f>U67-U86</f>
        <v>-1.39988786483272E-2</v>
      </c>
      <c r="X67" s="131" t="s">
        <v>79</v>
      </c>
      <c r="Z67" s="419">
        <v>13775</v>
      </c>
      <c r="AA67" s="425">
        <v>1589</v>
      </c>
      <c r="AB67" s="422">
        <v>1393</v>
      </c>
      <c r="AC67" s="434">
        <v>196</v>
      </c>
      <c r="AE67" s="437">
        <f t="shared" si="10"/>
        <v>0.11535390199637023</v>
      </c>
      <c r="AF67" s="715">
        <f>AE67-AE80</f>
        <v>-0.12713867960600367</v>
      </c>
      <c r="AG67" s="440">
        <f t="shared" si="11"/>
        <v>0.10112522686025409</v>
      </c>
      <c r="AH67" s="438">
        <f t="shared" si="12"/>
        <v>1.4228675136116153E-2</v>
      </c>
      <c r="AI67" s="754">
        <f>AH67-AH86</f>
        <v>-1.440359590585381E-2</v>
      </c>
      <c r="AK67" s="417" t="s">
        <v>79</v>
      </c>
      <c r="AL67" s="228"/>
      <c r="AM67" s="490">
        <f t="shared" si="14"/>
        <v>3264</v>
      </c>
      <c r="AN67" s="491">
        <f t="shared" si="15"/>
        <v>327</v>
      </c>
      <c r="AO67" s="502">
        <f t="shared" si="16"/>
        <v>-4.7107921335888536E-3</v>
      </c>
      <c r="AP67" s="511">
        <f>AO67-AO86</f>
        <v>-1.7097845267039669E-2</v>
      </c>
      <c r="AQ67" s="437">
        <f t="shared" si="17"/>
        <v>1.3105318238036343</v>
      </c>
      <c r="AR67" s="529" t="s">
        <v>336</v>
      </c>
      <c r="AS67" s="543">
        <f>AQ67-AQ86</f>
        <v>0.29716492562217312</v>
      </c>
      <c r="AT67" s="437">
        <f t="shared" si="18"/>
        <v>1.2591125198098256</v>
      </c>
      <c r="AU67" s="529" t="s">
        <v>336</v>
      </c>
      <c r="AV67" s="546">
        <f>AT67-AT86</f>
        <v>0.18021321101677934</v>
      </c>
    </row>
    <row r="68" spans="1:48" s="4" customFormat="1" ht="14" x14ac:dyDescent="0.3">
      <c r="A68" s="95" t="s">
        <v>77</v>
      </c>
      <c r="B68" s="140" t="s">
        <v>80</v>
      </c>
      <c r="D68" s="463">
        <v>5138</v>
      </c>
      <c r="E68" s="466">
        <v>812</v>
      </c>
      <c r="G68" s="437">
        <f t="shared" si="13"/>
        <v>0.15803814713896458</v>
      </c>
      <c r="H68" s="710">
        <f>G68-G86</f>
        <v>-3.3510271335281339E-2</v>
      </c>
      <c r="K68" s="417" t="s">
        <v>80</v>
      </c>
      <c r="M68" s="419">
        <v>6100</v>
      </c>
      <c r="N68" s="13">
        <f t="shared" si="6"/>
        <v>929</v>
      </c>
      <c r="O68" s="472">
        <v>800</v>
      </c>
      <c r="P68" s="473">
        <v>129</v>
      </c>
      <c r="R68" s="479">
        <f t="shared" si="7"/>
        <v>0.15229508196721311</v>
      </c>
      <c r="S68" s="745">
        <f>R68-R86</f>
        <v>-4.908089626959744E-2</v>
      </c>
      <c r="T68" s="440">
        <f t="shared" si="8"/>
        <v>0.13114754098360656</v>
      </c>
      <c r="U68" s="438">
        <f t="shared" si="9"/>
        <v>2.1147540983606557E-2</v>
      </c>
      <c r="V68" s="704">
        <f>U68-U86</f>
        <v>-6.3990524183308861E-3</v>
      </c>
      <c r="X68" s="131" t="s">
        <v>80</v>
      </c>
      <c r="Z68" s="419">
        <v>6299</v>
      </c>
      <c r="AA68" s="426">
        <v>940</v>
      </c>
      <c r="AB68" s="423">
        <v>811</v>
      </c>
      <c r="AC68" s="434">
        <v>129</v>
      </c>
      <c r="AE68" s="437">
        <f t="shared" si="10"/>
        <v>0.14923003651373234</v>
      </c>
      <c r="AF68" s="714">
        <f>AE68-AE86</f>
        <v>-5.4705435093964389E-2</v>
      </c>
      <c r="AG68" s="440">
        <f t="shared" si="11"/>
        <v>0.12875059533259248</v>
      </c>
      <c r="AH68" s="438">
        <f t="shared" si="12"/>
        <v>2.0479441181139865E-2</v>
      </c>
      <c r="AI68" s="754">
        <f>AH68-AH86</f>
        <v>-8.1528298608300985E-3</v>
      </c>
      <c r="AK68" s="417" t="s">
        <v>80</v>
      </c>
      <c r="AL68" s="228"/>
      <c r="AM68" s="490">
        <f t="shared" si="14"/>
        <v>1161</v>
      </c>
      <c r="AN68" s="491">
        <f t="shared" si="15"/>
        <v>128</v>
      </c>
      <c r="AO68" s="502">
        <f t="shared" si="16"/>
        <v>-8.808110625232235E-3</v>
      </c>
      <c r="AP68" s="511">
        <f>AO68-AO86</f>
        <v>-2.119516375868305E-2</v>
      </c>
      <c r="AQ68" s="437">
        <f t="shared" si="17"/>
        <v>1.2259634098871157</v>
      </c>
      <c r="AR68" s="529" t="s">
        <v>336</v>
      </c>
      <c r="AS68" s="543">
        <f>AQ68-AQ86</f>
        <v>0.21259651170565452</v>
      </c>
      <c r="AT68" s="437">
        <f t="shared" si="18"/>
        <v>1.1576354679802956</v>
      </c>
      <c r="AU68" s="530" t="s">
        <v>335</v>
      </c>
      <c r="AV68" s="705">
        <f>AT68-AT86</f>
        <v>7.8736159187249299E-2</v>
      </c>
    </row>
    <row r="69" spans="1:48" s="4" customFormat="1" ht="14" x14ac:dyDescent="0.3">
      <c r="A69" s="95" t="s">
        <v>77</v>
      </c>
      <c r="B69" s="140" t="s">
        <v>81</v>
      </c>
      <c r="D69" s="463">
        <v>4503</v>
      </c>
      <c r="E69" s="466">
        <v>498</v>
      </c>
      <c r="G69" s="437">
        <f t="shared" si="13"/>
        <v>0.11059293804130579</v>
      </c>
      <c r="H69" s="714">
        <f>G69-G86</f>
        <v>-8.0955480432940125E-2</v>
      </c>
      <c r="K69" s="417" t="s">
        <v>81</v>
      </c>
      <c r="M69" s="419">
        <v>5737</v>
      </c>
      <c r="N69" s="13">
        <f t="shared" si="6"/>
        <v>615</v>
      </c>
      <c r="O69" s="472">
        <v>531</v>
      </c>
      <c r="P69" s="473">
        <v>84</v>
      </c>
      <c r="R69" s="479">
        <f t="shared" si="7"/>
        <v>0.10719888443437336</v>
      </c>
      <c r="S69" s="746">
        <f>R69-R86</f>
        <v>-9.417709380243719E-2</v>
      </c>
      <c r="T69" s="440">
        <f t="shared" si="8"/>
        <v>9.2557085584800414E-2</v>
      </c>
      <c r="U69" s="438">
        <f t="shared" si="9"/>
        <v>1.4641798849572948E-2</v>
      </c>
      <c r="V69" s="704">
        <f>U69-U86</f>
        <v>-1.2904794552364495E-2</v>
      </c>
      <c r="X69" s="131" t="s">
        <v>81</v>
      </c>
      <c r="Z69" s="419">
        <v>5885</v>
      </c>
      <c r="AA69" s="426">
        <v>635</v>
      </c>
      <c r="AB69" s="423">
        <v>550</v>
      </c>
      <c r="AC69" s="434">
        <v>85</v>
      </c>
      <c r="AE69" s="437">
        <f t="shared" si="10"/>
        <v>0.10790144435004248</v>
      </c>
      <c r="AF69" s="714">
        <f>AE69-AE86</f>
        <v>-9.6034027257654253E-2</v>
      </c>
      <c r="AG69" s="440">
        <f t="shared" si="11"/>
        <v>9.3457943925233641E-2</v>
      </c>
      <c r="AH69" s="438">
        <f t="shared" si="12"/>
        <v>1.4443500424808835E-2</v>
      </c>
      <c r="AI69" s="754">
        <f>AH69-AH86</f>
        <v>-1.4188770617161128E-2</v>
      </c>
      <c r="AK69" s="417" t="s">
        <v>81</v>
      </c>
      <c r="AL69" s="228"/>
      <c r="AM69" s="490">
        <f t="shared" si="14"/>
        <v>1382</v>
      </c>
      <c r="AN69" s="491">
        <f t="shared" si="15"/>
        <v>137</v>
      </c>
      <c r="AO69" s="502">
        <f t="shared" si="16"/>
        <v>-2.6914936912633136E-3</v>
      </c>
      <c r="AP69" s="511">
        <f>AO69-AO86</f>
        <v>-1.5078546824714129E-2</v>
      </c>
      <c r="AQ69" s="437">
        <f t="shared" si="17"/>
        <v>1.3069065067732624</v>
      </c>
      <c r="AR69" s="529" t="s">
        <v>336</v>
      </c>
      <c r="AS69" s="543">
        <f>AQ69-AQ86</f>
        <v>0.29353960859180117</v>
      </c>
      <c r="AT69" s="437">
        <f t="shared" si="18"/>
        <v>1.2751004016064258</v>
      </c>
      <c r="AU69" s="529" t="s">
        <v>336</v>
      </c>
      <c r="AV69" s="546">
        <f>AT69-AT86</f>
        <v>0.1962010928133795</v>
      </c>
    </row>
    <row r="70" spans="1:48" s="4" customFormat="1" ht="14" x14ac:dyDescent="0.3">
      <c r="A70" s="95" t="s">
        <v>77</v>
      </c>
      <c r="B70" s="140" t="s">
        <v>82</v>
      </c>
      <c r="D70" s="463">
        <v>4274</v>
      </c>
      <c r="E70" s="466">
        <v>700</v>
      </c>
      <c r="G70" s="437">
        <f t="shared" si="13"/>
        <v>0.16378100140383717</v>
      </c>
      <c r="H70" s="710">
        <f>G70-G86</f>
        <v>-2.7767417070408751E-2</v>
      </c>
      <c r="K70" s="417" t="s">
        <v>82</v>
      </c>
      <c r="M70" s="419">
        <v>4443</v>
      </c>
      <c r="N70" s="13">
        <f t="shared" si="6"/>
        <v>741</v>
      </c>
      <c r="O70" s="472">
        <v>648</v>
      </c>
      <c r="P70" s="473">
        <v>93</v>
      </c>
      <c r="R70" s="479">
        <f t="shared" si="7"/>
        <v>0.16677920324105333</v>
      </c>
      <c r="S70" s="745">
        <f>R70-R86</f>
        <v>-3.4596774995757223E-2</v>
      </c>
      <c r="T70" s="440">
        <f t="shared" si="8"/>
        <v>0.14584740040513167</v>
      </c>
      <c r="U70" s="438">
        <f t="shared" si="9"/>
        <v>2.0931802835921675E-2</v>
      </c>
      <c r="V70" s="704">
        <f>U70-U86</f>
        <v>-6.6147905660157678E-3</v>
      </c>
      <c r="X70" s="131" t="s">
        <v>82</v>
      </c>
      <c r="Z70" s="419">
        <v>4508</v>
      </c>
      <c r="AA70" s="426">
        <v>768</v>
      </c>
      <c r="AB70" s="423">
        <v>660</v>
      </c>
      <c r="AC70" s="434">
        <v>108</v>
      </c>
      <c r="AE70" s="437">
        <f t="shared" si="10"/>
        <v>0.17036379769299023</v>
      </c>
      <c r="AF70" s="710">
        <f>AE70-AE86</f>
        <v>-3.3571673914706501E-2</v>
      </c>
      <c r="AG70" s="440">
        <f t="shared" si="11"/>
        <v>0.14640638864241348</v>
      </c>
      <c r="AH70" s="438">
        <f t="shared" si="12"/>
        <v>2.3957409050576754E-2</v>
      </c>
      <c r="AI70" s="754">
        <f>AH70-AH86</f>
        <v>-4.6748619913932095E-3</v>
      </c>
      <c r="AK70" s="417" t="s">
        <v>82</v>
      </c>
      <c r="AL70" s="228"/>
      <c r="AM70" s="490">
        <f t="shared" si="14"/>
        <v>234</v>
      </c>
      <c r="AN70" s="491">
        <f t="shared" si="15"/>
        <v>68</v>
      </c>
      <c r="AO70" s="502">
        <f t="shared" si="16"/>
        <v>6.5827962891530645E-3</v>
      </c>
      <c r="AP70" s="511">
        <f>AO70-AO86</f>
        <v>-5.8042568442977505E-3</v>
      </c>
      <c r="AQ70" s="437">
        <f t="shared" si="17"/>
        <v>1.0547496490407113</v>
      </c>
      <c r="AR70" s="524" t="s">
        <v>334</v>
      </c>
      <c r="AS70" s="539">
        <f>AQ70-AQ86</f>
        <v>4.1382750859250139E-2</v>
      </c>
      <c r="AT70" s="437">
        <f t="shared" si="18"/>
        <v>1.0971428571428572</v>
      </c>
      <c r="AU70" s="524" t="s">
        <v>334</v>
      </c>
      <c r="AV70" s="704">
        <f>AT70-AT86</f>
        <v>1.8243548349810901E-2</v>
      </c>
    </row>
    <row r="71" spans="1:48" s="4" customFormat="1" ht="14" x14ac:dyDescent="0.3">
      <c r="A71" s="95" t="s">
        <v>77</v>
      </c>
      <c r="B71" s="140" t="s">
        <v>83</v>
      </c>
      <c r="D71" s="463">
        <v>5676</v>
      </c>
      <c r="E71" s="465">
        <v>1325</v>
      </c>
      <c r="G71" s="437">
        <f t="shared" ref="G71:G86" si="19">E71/D71</f>
        <v>0.23343904157857645</v>
      </c>
      <c r="H71" s="711">
        <f>G71-G86</f>
        <v>4.1890623104330532E-2</v>
      </c>
      <c r="K71" s="417" t="s">
        <v>83</v>
      </c>
      <c r="M71" s="419">
        <v>5329</v>
      </c>
      <c r="N71" s="13">
        <f t="shared" si="6"/>
        <v>1319</v>
      </c>
      <c r="O71" s="472">
        <v>1108</v>
      </c>
      <c r="P71" s="473">
        <v>211</v>
      </c>
      <c r="R71" s="479">
        <f t="shared" si="7"/>
        <v>0.24751360480390316</v>
      </c>
      <c r="S71" s="741">
        <f>R71-R86</f>
        <v>4.613762656709261E-2</v>
      </c>
      <c r="T71" s="440">
        <f t="shared" si="8"/>
        <v>0.20791893413398385</v>
      </c>
      <c r="U71" s="438">
        <f t="shared" si="9"/>
        <v>3.9594670669919306E-2</v>
      </c>
      <c r="V71" s="706">
        <f>U71-U86</f>
        <v>1.2048077267981863E-2</v>
      </c>
      <c r="X71" s="131" t="s">
        <v>83</v>
      </c>
      <c r="Z71" s="419">
        <v>5334</v>
      </c>
      <c r="AA71" s="425">
        <v>1316</v>
      </c>
      <c r="AB71" s="422">
        <v>1116</v>
      </c>
      <c r="AC71" s="434">
        <v>200</v>
      </c>
      <c r="AE71" s="437">
        <f t="shared" si="10"/>
        <v>0.24671916010498687</v>
      </c>
      <c r="AF71" s="711">
        <f>AE71-AE86</f>
        <v>4.278368849729014E-2</v>
      </c>
      <c r="AG71" s="440">
        <f t="shared" si="11"/>
        <v>0.20922384701912261</v>
      </c>
      <c r="AH71" s="438">
        <f t="shared" si="12"/>
        <v>3.7495313085864269E-2</v>
      </c>
      <c r="AI71" s="752">
        <f>AH71-AH86</f>
        <v>8.8630420438943064E-3</v>
      </c>
      <c r="AK71" s="417" t="s">
        <v>83</v>
      </c>
      <c r="AL71" s="228"/>
      <c r="AM71" s="490">
        <f t="shared" ref="AM71:AM86" si="20">Z71-D71</f>
        <v>-342</v>
      </c>
      <c r="AN71" s="491">
        <f t="shared" ref="AN71:AN86" si="21">AA71-E71</f>
        <v>-9</v>
      </c>
      <c r="AO71" s="502">
        <f t="shared" ref="AO71:AO86" si="22">AE71-G71</f>
        <v>1.3280118526410423E-2</v>
      </c>
      <c r="AP71" s="511">
        <f>AO71-AO86</f>
        <v>8.9306539295960774E-4</v>
      </c>
      <c r="AQ71" s="437">
        <f t="shared" ref="AQ71:AQ86" si="23">Z71/D71</f>
        <v>0.93974630021141647</v>
      </c>
      <c r="AR71" s="531" t="s">
        <v>339</v>
      </c>
      <c r="AS71" s="536">
        <f>AQ71-AQ86</f>
        <v>-7.3620597970044721E-2</v>
      </c>
      <c r="AT71" s="437">
        <f t="shared" ref="AT71:AT86" si="24">AA71/E71</f>
        <v>0.9932075471698113</v>
      </c>
      <c r="AU71" s="528" t="s">
        <v>337</v>
      </c>
      <c r="AV71" s="707">
        <f>AT71-AT86</f>
        <v>-8.5691761623234997E-2</v>
      </c>
    </row>
    <row r="72" spans="1:48" s="4" customFormat="1" ht="14" x14ac:dyDescent="0.3">
      <c r="A72" s="95" t="s">
        <v>77</v>
      </c>
      <c r="B72" s="140" t="s">
        <v>84</v>
      </c>
      <c r="D72" s="463">
        <v>10676</v>
      </c>
      <c r="E72" s="465">
        <v>1541</v>
      </c>
      <c r="G72" s="437">
        <f t="shared" si="19"/>
        <v>0.14434245035593857</v>
      </c>
      <c r="H72" s="710">
        <f>G72-G86</f>
        <v>-4.7205968118307351E-2</v>
      </c>
      <c r="K72" s="417" t="s">
        <v>84</v>
      </c>
      <c r="M72" s="419">
        <v>12747</v>
      </c>
      <c r="N72" s="13">
        <f t="shared" ref="N72:N85" si="25">O72+P72</f>
        <v>1709</v>
      </c>
      <c r="O72" s="472">
        <v>1502</v>
      </c>
      <c r="P72" s="473">
        <v>207</v>
      </c>
      <c r="R72" s="479">
        <f t="shared" ref="R72:R86" si="26">N72/M72</f>
        <v>0.13407076174786225</v>
      </c>
      <c r="S72" s="746">
        <f>R72-R86</f>
        <v>-6.73052164889483E-2</v>
      </c>
      <c r="T72" s="440">
        <f t="shared" ref="T72:T86" si="27">O72/M72</f>
        <v>0.11783164666195968</v>
      </c>
      <c r="U72" s="438">
        <f t="shared" ref="U72:U86" si="28">P72/M72</f>
        <v>1.6239115085902565E-2</v>
      </c>
      <c r="V72" s="704">
        <f>U72-U86</f>
        <v>-1.1307478316034878E-2</v>
      </c>
      <c r="X72" s="131" t="s">
        <v>84</v>
      </c>
      <c r="Z72" s="419">
        <v>13226</v>
      </c>
      <c r="AA72" s="425">
        <v>1784</v>
      </c>
      <c r="AB72" s="422">
        <v>1549</v>
      </c>
      <c r="AC72" s="434">
        <v>235</v>
      </c>
      <c r="AE72" s="437">
        <f t="shared" ref="AE72:AE86" si="29">AA72/Z72</f>
        <v>0.13488583093905943</v>
      </c>
      <c r="AF72" s="714">
        <f>AE72-AE86</f>
        <v>-6.9049640668637308E-2</v>
      </c>
      <c r="AG72" s="440">
        <f t="shared" ref="AG72:AG86" si="30">AB72/Z72</f>
        <v>0.11711779827612279</v>
      </c>
      <c r="AH72" s="438">
        <f t="shared" ref="AH72:AH86" si="31">AC72/Z72</f>
        <v>1.7768032662936639E-2</v>
      </c>
      <c r="AI72" s="754">
        <f>AH72-AH86</f>
        <v>-1.0864238379033324E-2</v>
      </c>
      <c r="AK72" s="417" t="s">
        <v>84</v>
      </c>
      <c r="AL72" s="228"/>
      <c r="AM72" s="490">
        <f t="shared" si="20"/>
        <v>2550</v>
      </c>
      <c r="AN72" s="491">
        <f t="shared" si="21"/>
        <v>243</v>
      </c>
      <c r="AO72" s="502">
        <f t="shared" si="22"/>
        <v>-9.4566194168791418E-3</v>
      </c>
      <c r="AP72" s="511">
        <f>AO72-AO86</f>
        <v>-2.1843672550329957E-2</v>
      </c>
      <c r="AQ72" s="437">
        <f t="shared" si="23"/>
        <v>1.2388535031847134</v>
      </c>
      <c r="AR72" s="529" t="s">
        <v>336</v>
      </c>
      <c r="AS72" s="543">
        <f>AQ72-AQ86</f>
        <v>0.22548660500325224</v>
      </c>
      <c r="AT72" s="437">
        <f t="shared" si="24"/>
        <v>1.1576898118105126</v>
      </c>
      <c r="AU72" s="530" t="s">
        <v>335</v>
      </c>
      <c r="AV72" s="707">
        <f>AT72-AT86</f>
        <v>7.8790503017466262E-2</v>
      </c>
    </row>
    <row r="73" spans="1:48" s="4" customFormat="1" ht="14" x14ac:dyDescent="0.3">
      <c r="A73" s="95" t="s">
        <v>77</v>
      </c>
      <c r="B73" s="140" t="s">
        <v>85</v>
      </c>
      <c r="D73" s="463">
        <v>99429</v>
      </c>
      <c r="E73" s="465">
        <v>18001</v>
      </c>
      <c r="G73" s="437">
        <f t="shared" si="19"/>
        <v>0.18104375986885113</v>
      </c>
      <c r="H73" s="710">
        <f>G73-G86</f>
        <v>-1.050465860539479E-2</v>
      </c>
      <c r="K73" s="417" t="s">
        <v>85</v>
      </c>
      <c r="M73" s="419">
        <v>97435</v>
      </c>
      <c r="N73" s="13">
        <f t="shared" si="25"/>
        <v>18313</v>
      </c>
      <c r="O73" s="472">
        <v>15283</v>
      </c>
      <c r="P73" s="473">
        <v>3030</v>
      </c>
      <c r="R73" s="479">
        <f t="shared" si="26"/>
        <v>0.18795094165340998</v>
      </c>
      <c r="S73" s="745">
        <f>R73-R86</f>
        <v>-1.3425036583400579E-2</v>
      </c>
      <c r="T73" s="440">
        <f t="shared" si="27"/>
        <v>0.156853286806589</v>
      </c>
      <c r="U73" s="438">
        <f t="shared" si="28"/>
        <v>3.1097654846820956E-2</v>
      </c>
      <c r="V73" s="706">
        <f>U73-U86</f>
        <v>3.5510614448835132E-3</v>
      </c>
      <c r="X73" s="131" t="s">
        <v>85</v>
      </c>
      <c r="Z73" s="419">
        <v>98270</v>
      </c>
      <c r="AA73" s="425">
        <v>18411</v>
      </c>
      <c r="AB73" s="422">
        <v>15281</v>
      </c>
      <c r="AC73" s="435">
        <v>3130</v>
      </c>
      <c r="AE73" s="437">
        <f t="shared" si="29"/>
        <v>0.18735117533326548</v>
      </c>
      <c r="AF73" s="710">
        <f>AE73-AE86</f>
        <v>-1.6584296274431254E-2</v>
      </c>
      <c r="AG73" s="440">
        <f t="shared" si="30"/>
        <v>0.15550015264068384</v>
      </c>
      <c r="AH73" s="438">
        <f t="shared" si="31"/>
        <v>3.1851022692581665E-2</v>
      </c>
      <c r="AI73" s="752">
        <f>AH73-AH86</f>
        <v>3.2187516506117023E-3</v>
      </c>
      <c r="AK73" s="417" t="s">
        <v>85</v>
      </c>
      <c r="AL73" s="228"/>
      <c r="AM73" s="490">
        <f t="shared" si="20"/>
        <v>-1159</v>
      </c>
      <c r="AN73" s="491">
        <f t="shared" si="21"/>
        <v>410</v>
      </c>
      <c r="AO73" s="502">
        <f t="shared" si="22"/>
        <v>6.307415464414351E-3</v>
      </c>
      <c r="AP73" s="511">
        <f>AO73-AO86</f>
        <v>-6.079637669036464E-3</v>
      </c>
      <c r="AQ73" s="437">
        <f t="shared" si="23"/>
        <v>0.98834344104838634</v>
      </c>
      <c r="AR73" s="528" t="s">
        <v>337</v>
      </c>
      <c r="AS73" s="535">
        <f>AQ73-AQ86</f>
        <v>-2.5023457133074856E-2</v>
      </c>
      <c r="AT73" s="437">
        <f t="shared" si="24"/>
        <v>1.0227765124159769</v>
      </c>
      <c r="AU73" s="526" t="s">
        <v>333</v>
      </c>
      <c r="AV73" s="707">
        <f>AT73-AT86</f>
        <v>-5.6122796377069406E-2</v>
      </c>
    </row>
    <row r="74" spans="1:48" s="4" customFormat="1" ht="14" x14ac:dyDescent="0.3">
      <c r="A74" s="95" t="s">
        <v>86</v>
      </c>
      <c r="B74" s="140" t="s">
        <v>87</v>
      </c>
      <c r="D74" s="463">
        <v>6637</v>
      </c>
      <c r="E74" s="465">
        <v>1422</v>
      </c>
      <c r="G74" s="437">
        <f t="shared" si="19"/>
        <v>0.21425342775350309</v>
      </c>
      <c r="H74" s="711">
        <f>G74-G86</f>
        <v>2.2705009279257171E-2</v>
      </c>
      <c r="K74" s="417" t="s">
        <v>87</v>
      </c>
      <c r="M74" s="419">
        <v>6541</v>
      </c>
      <c r="N74" s="13">
        <f t="shared" si="25"/>
        <v>1442</v>
      </c>
      <c r="O74" s="472">
        <v>1230</v>
      </c>
      <c r="P74" s="473">
        <v>212</v>
      </c>
      <c r="R74" s="479">
        <f t="shared" si="26"/>
        <v>0.22045558783060695</v>
      </c>
      <c r="S74" s="741">
        <f>R74-R86</f>
        <v>1.9079609593796398E-2</v>
      </c>
      <c r="T74" s="440">
        <f t="shared" si="27"/>
        <v>0.18804464149212657</v>
      </c>
      <c r="U74" s="438">
        <f t="shared" si="28"/>
        <v>3.2410946338480358E-2</v>
      </c>
      <c r="V74" s="706">
        <f>U74-U86</f>
        <v>4.864352936542915E-3</v>
      </c>
      <c r="X74" s="131" t="s">
        <v>87</v>
      </c>
      <c r="Z74" s="419">
        <v>6388</v>
      </c>
      <c r="AA74" s="425">
        <v>1455</v>
      </c>
      <c r="AB74" s="422">
        <v>1250</v>
      </c>
      <c r="AC74" s="434">
        <v>205</v>
      </c>
      <c r="AE74" s="437">
        <f t="shared" si="29"/>
        <v>0.22777082028804008</v>
      </c>
      <c r="AF74" s="711">
        <f>AE74-AE86</f>
        <v>2.3835348680343343E-2</v>
      </c>
      <c r="AG74" s="440">
        <f t="shared" si="30"/>
        <v>0.19567939887288666</v>
      </c>
      <c r="AH74" s="438">
        <f t="shared" si="31"/>
        <v>3.2091421415153414E-2</v>
      </c>
      <c r="AI74" s="752">
        <f>AH74-AH86</f>
        <v>3.4591503731834505E-3</v>
      </c>
      <c r="AK74" s="417" t="s">
        <v>87</v>
      </c>
      <c r="AL74" s="228"/>
      <c r="AM74" s="490">
        <f t="shared" si="20"/>
        <v>-249</v>
      </c>
      <c r="AN74" s="491">
        <f t="shared" si="21"/>
        <v>33</v>
      </c>
      <c r="AO74" s="502">
        <f t="shared" si="22"/>
        <v>1.3517392534536987E-2</v>
      </c>
      <c r="AP74" s="511">
        <f>AO74-AO86</f>
        <v>1.1303394010861723E-3</v>
      </c>
      <c r="AQ74" s="437">
        <f t="shared" si="23"/>
        <v>0.96248304957058917</v>
      </c>
      <c r="AR74" s="528" t="s">
        <v>337</v>
      </c>
      <c r="AS74" s="536">
        <f>AQ74-AQ86</f>
        <v>-5.0883848610872029E-2</v>
      </c>
      <c r="AT74" s="437">
        <f t="shared" si="24"/>
        <v>1.0232067510548524</v>
      </c>
      <c r="AU74" s="526" t="s">
        <v>333</v>
      </c>
      <c r="AV74" s="707">
        <f>AT74-AT86</f>
        <v>-5.5692557738193926E-2</v>
      </c>
    </row>
    <row r="75" spans="1:48" s="4" customFormat="1" ht="14" x14ac:dyDescent="0.3">
      <c r="A75" s="95" t="s">
        <v>86</v>
      </c>
      <c r="B75" s="140" t="s">
        <v>88</v>
      </c>
      <c r="D75" s="463">
        <v>6270</v>
      </c>
      <c r="E75" s="465">
        <v>1438</v>
      </c>
      <c r="G75" s="437">
        <f t="shared" si="19"/>
        <v>0.22934609250398724</v>
      </c>
      <c r="H75" s="711">
        <f>G75-G86</f>
        <v>3.7797674029741324E-2</v>
      </c>
      <c r="K75" s="417" t="s">
        <v>88</v>
      </c>
      <c r="M75" s="419">
        <v>5929</v>
      </c>
      <c r="N75" s="13">
        <f t="shared" si="25"/>
        <v>1451</v>
      </c>
      <c r="O75" s="472">
        <v>1231</v>
      </c>
      <c r="P75" s="473">
        <v>220</v>
      </c>
      <c r="R75" s="479">
        <f t="shared" si="26"/>
        <v>0.24472929667734863</v>
      </c>
      <c r="S75" s="741">
        <f>R75-R86</f>
        <v>4.335331844053808E-2</v>
      </c>
      <c r="T75" s="440">
        <f t="shared" si="27"/>
        <v>0.20762354528588295</v>
      </c>
      <c r="U75" s="438">
        <f t="shared" si="28"/>
        <v>3.7105751391465679E-2</v>
      </c>
      <c r="V75" s="706">
        <f>U75-U86</f>
        <v>9.5591579895282358E-3</v>
      </c>
      <c r="X75" s="131" t="s">
        <v>88</v>
      </c>
      <c r="Z75" s="419">
        <v>5941</v>
      </c>
      <c r="AA75" s="425">
        <v>1488</v>
      </c>
      <c r="AB75" s="422">
        <v>1258</v>
      </c>
      <c r="AC75" s="434">
        <v>230</v>
      </c>
      <c r="AE75" s="437">
        <f t="shared" si="29"/>
        <v>0.25046288503618919</v>
      </c>
      <c r="AF75" s="711">
        <f>AE75-AE86</f>
        <v>4.6527413428492453E-2</v>
      </c>
      <c r="AG75" s="440">
        <f t="shared" si="30"/>
        <v>0.21174886382763844</v>
      </c>
      <c r="AH75" s="438">
        <f t="shared" si="31"/>
        <v>3.8714021208550747E-2</v>
      </c>
      <c r="AI75" s="752">
        <f>AH75-AH86</f>
        <v>1.0081750166580784E-2</v>
      </c>
      <c r="AK75" s="417" t="s">
        <v>88</v>
      </c>
      <c r="AL75" s="228"/>
      <c r="AM75" s="490">
        <f t="shared" si="20"/>
        <v>-329</v>
      </c>
      <c r="AN75" s="491">
        <f t="shared" si="21"/>
        <v>50</v>
      </c>
      <c r="AO75" s="502">
        <f t="shared" si="22"/>
        <v>2.1116792532201945E-2</v>
      </c>
      <c r="AP75" s="511">
        <f>AO75-AO86</f>
        <v>8.7297393987511296E-3</v>
      </c>
      <c r="AQ75" s="437">
        <f t="shared" si="23"/>
        <v>0.94752791068580544</v>
      </c>
      <c r="AR75" s="531" t="s">
        <v>339</v>
      </c>
      <c r="AS75" s="536">
        <f>AQ75-AQ86</f>
        <v>-6.5838987495655754E-2</v>
      </c>
      <c r="AT75" s="437">
        <f t="shared" si="24"/>
        <v>1.0347705146036161</v>
      </c>
      <c r="AU75" s="526" t="s">
        <v>333</v>
      </c>
      <c r="AV75" s="706">
        <f>AT75-AT86</f>
        <v>-4.4128794189430165E-2</v>
      </c>
    </row>
    <row r="76" spans="1:48" s="4" customFormat="1" ht="14" x14ac:dyDescent="0.3">
      <c r="A76" s="95" t="s">
        <v>86</v>
      </c>
      <c r="B76" s="140" t="s">
        <v>89</v>
      </c>
      <c r="D76" s="463">
        <v>16664</v>
      </c>
      <c r="E76" s="465">
        <v>3665</v>
      </c>
      <c r="G76" s="437">
        <f t="shared" si="19"/>
        <v>0.21993518963034087</v>
      </c>
      <c r="H76" s="711">
        <f>G76-G86</f>
        <v>2.8386771156094948E-2</v>
      </c>
      <c r="K76" s="417" t="s">
        <v>89</v>
      </c>
      <c r="M76" s="419">
        <v>15456</v>
      </c>
      <c r="N76" s="13">
        <f t="shared" si="25"/>
        <v>3717</v>
      </c>
      <c r="O76" s="472">
        <v>3242</v>
      </c>
      <c r="P76" s="473">
        <v>475</v>
      </c>
      <c r="R76" s="479">
        <f t="shared" si="26"/>
        <v>0.24048913043478262</v>
      </c>
      <c r="S76" s="741">
        <f>R76-R86</f>
        <v>3.9113152197972068E-2</v>
      </c>
      <c r="T76" s="440">
        <f t="shared" si="27"/>
        <v>0.2097567287784679</v>
      </c>
      <c r="U76" s="438">
        <f t="shared" si="28"/>
        <v>3.07324016563147E-2</v>
      </c>
      <c r="V76" s="706">
        <f>U76-U86</f>
        <v>3.1858082543772571E-3</v>
      </c>
      <c r="X76" s="131" t="s">
        <v>89</v>
      </c>
      <c r="Z76" s="419">
        <v>15228</v>
      </c>
      <c r="AA76" s="425">
        <v>3788</v>
      </c>
      <c r="AB76" s="422">
        <v>3280</v>
      </c>
      <c r="AC76" s="434">
        <v>508</v>
      </c>
      <c r="AE76" s="437">
        <f t="shared" si="29"/>
        <v>0.24875229839768848</v>
      </c>
      <c r="AF76" s="711">
        <f>AE76-AE86</f>
        <v>4.4816826789991743E-2</v>
      </c>
      <c r="AG76" s="440">
        <f t="shared" si="30"/>
        <v>0.2153926976622012</v>
      </c>
      <c r="AH76" s="438">
        <f t="shared" si="31"/>
        <v>3.3359600735487258E-2</v>
      </c>
      <c r="AI76" s="752">
        <f>AH76-AH86</f>
        <v>4.7273296935172945E-3</v>
      </c>
      <c r="AK76" s="417" t="s">
        <v>89</v>
      </c>
      <c r="AL76" s="228"/>
      <c r="AM76" s="490">
        <f t="shared" si="20"/>
        <v>-1436</v>
      </c>
      <c r="AN76" s="491">
        <f t="shared" si="21"/>
        <v>123</v>
      </c>
      <c r="AO76" s="502">
        <f t="shared" si="22"/>
        <v>2.881710876734761E-2</v>
      </c>
      <c r="AP76" s="511">
        <f>AO76-AO86</f>
        <v>1.6430055633896795E-2</v>
      </c>
      <c r="AQ76" s="437">
        <f t="shared" si="23"/>
        <v>0.91382621219395099</v>
      </c>
      <c r="AR76" s="531" t="s">
        <v>339</v>
      </c>
      <c r="AS76" s="536">
        <f>AQ76-AQ86</f>
        <v>-9.9540685987510202E-2</v>
      </c>
      <c r="AT76" s="437">
        <f t="shared" si="24"/>
        <v>1.0335607094133696</v>
      </c>
      <c r="AU76" s="526" t="s">
        <v>333</v>
      </c>
      <c r="AV76" s="706">
        <f>AT76-AT86</f>
        <v>-4.5338599379676658E-2</v>
      </c>
    </row>
    <row r="77" spans="1:48" s="4" customFormat="1" ht="14" x14ac:dyDescent="0.3">
      <c r="A77" s="95" t="s">
        <v>90</v>
      </c>
      <c r="B77" s="140" t="s">
        <v>91</v>
      </c>
      <c r="D77" s="463">
        <v>7652</v>
      </c>
      <c r="E77" s="465">
        <v>1857</v>
      </c>
      <c r="G77" s="437">
        <f t="shared" si="19"/>
        <v>0.24268165185572399</v>
      </c>
      <c r="H77" s="713">
        <f>G77-G86</f>
        <v>5.1133233381478072E-2</v>
      </c>
      <c r="K77" s="417" t="s">
        <v>91</v>
      </c>
      <c r="M77" s="419">
        <v>7268</v>
      </c>
      <c r="N77" s="13">
        <f t="shared" si="25"/>
        <v>1956</v>
      </c>
      <c r="O77" s="472">
        <v>1648</v>
      </c>
      <c r="P77" s="473">
        <v>308</v>
      </c>
      <c r="R77" s="479">
        <f t="shared" si="26"/>
        <v>0.26912493120528341</v>
      </c>
      <c r="S77" s="743">
        <f>R77-R86</f>
        <v>6.7748952968472859E-2</v>
      </c>
      <c r="T77" s="440">
        <f t="shared" si="27"/>
        <v>0.2267473858007705</v>
      </c>
      <c r="U77" s="438">
        <f t="shared" si="28"/>
        <v>4.2377545404512933E-2</v>
      </c>
      <c r="V77" s="706">
        <f>U77-U86</f>
        <v>1.483095200257549E-2</v>
      </c>
      <c r="X77" s="131" t="s">
        <v>91</v>
      </c>
      <c r="Z77" s="419">
        <v>7210</v>
      </c>
      <c r="AA77" s="425">
        <v>1969</v>
      </c>
      <c r="AB77" s="422">
        <v>1659</v>
      </c>
      <c r="AC77" s="434">
        <v>310</v>
      </c>
      <c r="AE77" s="437">
        <f t="shared" si="29"/>
        <v>0.27309292649098477</v>
      </c>
      <c r="AF77" s="713">
        <f>AE77-AE86</f>
        <v>6.9157454883288033E-2</v>
      </c>
      <c r="AG77" s="440">
        <f t="shared" si="30"/>
        <v>0.23009708737864076</v>
      </c>
      <c r="AH77" s="438">
        <f t="shared" si="31"/>
        <v>4.2995839112343968E-2</v>
      </c>
      <c r="AI77" s="752">
        <f>AH77-AH86</f>
        <v>1.4363568070374005E-2</v>
      </c>
      <c r="AK77" s="417" t="s">
        <v>91</v>
      </c>
      <c r="AL77" s="228"/>
      <c r="AM77" s="490">
        <f t="shared" si="20"/>
        <v>-442</v>
      </c>
      <c r="AN77" s="491">
        <f t="shared" si="21"/>
        <v>112</v>
      </c>
      <c r="AO77" s="502">
        <f t="shared" si="22"/>
        <v>3.0411274635260777E-2</v>
      </c>
      <c r="AP77" s="511">
        <f>AO77-AO86</f>
        <v>1.8024221501809962E-2</v>
      </c>
      <c r="AQ77" s="437">
        <f t="shared" si="23"/>
        <v>0.9422373235755358</v>
      </c>
      <c r="AR77" s="531" t="s">
        <v>339</v>
      </c>
      <c r="AS77" s="536">
        <f>AQ77-AQ86</f>
        <v>-7.1129574605925394E-2</v>
      </c>
      <c r="AT77" s="437">
        <f t="shared" si="24"/>
        <v>1.0603123317178245</v>
      </c>
      <c r="AU77" s="524" t="s">
        <v>334</v>
      </c>
      <c r="AV77" s="706">
        <f>AT77-AT86</f>
        <v>-1.8586977075221833E-2</v>
      </c>
    </row>
    <row r="78" spans="1:48" s="4" customFormat="1" ht="14" x14ac:dyDescent="0.3">
      <c r="A78" s="95" t="s">
        <v>90</v>
      </c>
      <c r="B78" s="140" t="s">
        <v>92</v>
      </c>
      <c r="D78" s="463">
        <v>8203</v>
      </c>
      <c r="E78" s="465">
        <v>1824</v>
      </c>
      <c r="G78" s="437">
        <f t="shared" si="19"/>
        <v>0.22235767402169937</v>
      </c>
      <c r="H78" s="711">
        <f>G78-G86</f>
        <v>3.0809255547453451E-2</v>
      </c>
      <c r="K78" s="417" t="s">
        <v>92</v>
      </c>
      <c r="M78" s="419">
        <v>7899</v>
      </c>
      <c r="N78" s="13">
        <f t="shared" si="25"/>
        <v>1919</v>
      </c>
      <c r="O78" s="472">
        <v>1639</v>
      </c>
      <c r="P78" s="473">
        <v>280</v>
      </c>
      <c r="R78" s="479">
        <f t="shared" si="26"/>
        <v>0.2429421445752627</v>
      </c>
      <c r="S78" s="741">
        <f>R78-R86</f>
        <v>4.1566166338452143E-2</v>
      </c>
      <c r="T78" s="440">
        <f t="shared" si="27"/>
        <v>0.20749461957209772</v>
      </c>
      <c r="U78" s="438">
        <f t="shared" si="28"/>
        <v>3.5447525003164955E-2</v>
      </c>
      <c r="V78" s="706">
        <f>U78-U86</f>
        <v>7.9009316012275121E-3</v>
      </c>
      <c r="X78" s="131" t="s">
        <v>92</v>
      </c>
      <c r="Z78" s="419">
        <v>7766</v>
      </c>
      <c r="AA78" s="425">
        <v>1925</v>
      </c>
      <c r="AB78" s="422">
        <v>1649</v>
      </c>
      <c r="AC78" s="434">
        <v>276</v>
      </c>
      <c r="AE78" s="437">
        <f t="shared" si="29"/>
        <v>0.24787535410764872</v>
      </c>
      <c r="AF78" s="711">
        <f>AE78-AE86</f>
        <v>4.3939882499951982E-2</v>
      </c>
      <c r="AG78" s="440">
        <f t="shared" si="30"/>
        <v>0.21233582281740923</v>
      </c>
      <c r="AH78" s="438">
        <f t="shared" si="31"/>
        <v>3.5539531290239505E-2</v>
      </c>
      <c r="AI78" s="752">
        <f>AH78-AH86</f>
        <v>6.9072602482695422E-3</v>
      </c>
      <c r="AK78" s="417" t="s">
        <v>92</v>
      </c>
      <c r="AL78" s="228"/>
      <c r="AM78" s="490">
        <f t="shared" si="20"/>
        <v>-437</v>
      </c>
      <c r="AN78" s="491">
        <f t="shared" si="21"/>
        <v>101</v>
      </c>
      <c r="AO78" s="502">
        <f t="shared" si="22"/>
        <v>2.5517680085949346E-2</v>
      </c>
      <c r="AP78" s="511">
        <f>AO78-AO86</f>
        <v>1.3130626952498531E-2</v>
      </c>
      <c r="AQ78" s="437">
        <f t="shared" si="23"/>
        <v>0.94672680726563452</v>
      </c>
      <c r="AR78" s="531" t="s">
        <v>339</v>
      </c>
      <c r="AS78" s="536">
        <f>AQ78-AQ86</f>
        <v>-6.6640090915826677E-2</v>
      </c>
      <c r="AT78" s="437">
        <f t="shared" si="24"/>
        <v>1.0553728070175439</v>
      </c>
      <c r="AU78" s="524" t="s">
        <v>334</v>
      </c>
      <c r="AV78" s="706">
        <f>AT78-AT86</f>
        <v>-2.3526501775502418E-2</v>
      </c>
    </row>
    <row r="79" spans="1:48" s="4" customFormat="1" ht="14" x14ac:dyDescent="0.3">
      <c r="A79" s="95" t="s">
        <v>90</v>
      </c>
      <c r="B79" s="140" t="s">
        <v>93</v>
      </c>
      <c r="D79" s="463">
        <v>13950</v>
      </c>
      <c r="E79" s="465">
        <v>2919</v>
      </c>
      <c r="G79" s="437">
        <f t="shared" si="19"/>
        <v>0.209247311827957</v>
      </c>
      <c r="H79" s="711">
        <f>G79-G86</f>
        <v>1.7698893353711082E-2</v>
      </c>
      <c r="K79" s="417" t="s">
        <v>93</v>
      </c>
      <c r="M79" s="419">
        <v>13620</v>
      </c>
      <c r="N79" s="13">
        <f t="shared" si="25"/>
        <v>3041</v>
      </c>
      <c r="O79" s="472">
        <v>2659</v>
      </c>
      <c r="P79" s="473">
        <v>382</v>
      </c>
      <c r="R79" s="479">
        <f t="shared" si="26"/>
        <v>0.22327459618208517</v>
      </c>
      <c r="S79" s="741">
        <f>R79-R86</f>
        <v>2.1898617945274618E-2</v>
      </c>
      <c r="T79" s="440">
        <f t="shared" si="27"/>
        <v>0.19522760646108664</v>
      </c>
      <c r="U79" s="438">
        <f t="shared" si="28"/>
        <v>2.8046989720998533E-2</v>
      </c>
      <c r="V79" s="706">
        <f>U79-U86</f>
        <v>5.0039631906109022E-4</v>
      </c>
      <c r="X79" s="131" t="s">
        <v>93</v>
      </c>
      <c r="Z79" s="419">
        <v>13542</v>
      </c>
      <c r="AA79" s="425">
        <v>3119</v>
      </c>
      <c r="AB79" s="422">
        <v>2713</v>
      </c>
      <c r="AC79" s="434">
        <v>406</v>
      </c>
      <c r="AE79" s="437">
        <f t="shared" si="29"/>
        <v>0.23032048441884506</v>
      </c>
      <c r="AF79" s="711">
        <f>AE79-AE86</f>
        <v>2.6385012811148328E-2</v>
      </c>
      <c r="AG79" s="440">
        <f t="shared" si="30"/>
        <v>0.20033968394624133</v>
      </c>
      <c r="AH79" s="438">
        <f t="shared" si="31"/>
        <v>2.998080047260375E-2</v>
      </c>
      <c r="AI79" s="752">
        <f>AH79-AH86</f>
        <v>1.3485294306337867E-3</v>
      </c>
      <c r="AK79" s="417" t="s">
        <v>93</v>
      </c>
      <c r="AL79" s="228"/>
      <c r="AM79" s="490">
        <f t="shared" si="20"/>
        <v>-408</v>
      </c>
      <c r="AN79" s="491">
        <f t="shared" si="21"/>
        <v>200</v>
      </c>
      <c r="AO79" s="502">
        <f t="shared" si="22"/>
        <v>2.1073172590888062E-2</v>
      </c>
      <c r="AP79" s="511">
        <f>AO79-AO86</f>
        <v>8.6861194574372469E-3</v>
      </c>
      <c r="AQ79" s="437">
        <f t="shared" si="23"/>
        <v>0.97075268817204297</v>
      </c>
      <c r="AR79" s="528" t="s">
        <v>337</v>
      </c>
      <c r="AS79" s="536">
        <f>AQ79-AQ86</f>
        <v>-4.261421000941823E-2</v>
      </c>
      <c r="AT79" s="437">
        <f t="shared" si="24"/>
        <v>1.0685166152792052</v>
      </c>
      <c r="AU79" s="524" t="s">
        <v>334</v>
      </c>
      <c r="AV79" s="706">
        <f>AT79-AT86</f>
        <v>-1.0382693513841135E-2</v>
      </c>
    </row>
    <row r="80" spans="1:48" s="4" customFormat="1" ht="14" x14ac:dyDescent="0.3">
      <c r="A80" s="95" t="s">
        <v>90</v>
      </c>
      <c r="B80" s="140" t="s">
        <v>94</v>
      </c>
      <c r="D80" s="463">
        <v>17758</v>
      </c>
      <c r="E80" s="465">
        <v>4006</v>
      </c>
      <c r="G80" s="437">
        <f t="shared" si="19"/>
        <v>0.22558846716972633</v>
      </c>
      <c r="H80" s="711">
        <f>G80-G86</f>
        <v>3.4040048695480413E-2</v>
      </c>
      <c r="K80" s="417" t="s">
        <v>94</v>
      </c>
      <c r="M80" s="419">
        <v>16800</v>
      </c>
      <c r="N80" s="13">
        <f t="shared" si="25"/>
        <v>4078</v>
      </c>
      <c r="O80" s="472">
        <v>3473</v>
      </c>
      <c r="P80" s="473">
        <v>605</v>
      </c>
      <c r="R80" s="479">
        <f t="shared" si="26"/>
        <v>0.24273809523809523</v>
      </c>
      <c r="S80" s="741">
        <f>R80-R86</f>
        <v>4.1362117001284671E-2</v>
      </c>
      <c r="T80" s="440">
        <f t="shared" si="27"/>
        <v>0.20672619047619048</v>
      </c>
      <c r="U80" s="438">
        <f t="shared" si="28"/>
        <v>3.6011904761904759E-2</v>
      </c>
      <c r="V80" s="706">
        <f>U80-U86</f>
        <v>8.465311359967316E-3</v>
      </c>
      <c r="X80" s="131" t="s">
        <v>94</v>
      </c>
      <c r="Z80" s="419">
        <v>16850</v>
      </c>
      <c r="AA80" s="425">
        <v>4086</v>
      </c>
      <c r="AB80" s="422">
        <v>3453</v>
      </c>
      <c r="AC80" s="434">
        <v>633</v>
      </c>
      <c r="AE80" s="437">
        <f t="shared" si="29"/>
        <v>0.24249258160237389</v>
      </c>
      <c r="AF80" s="711">
        <f>AE80-AE86</f>
        <v>3.8557109994677152E-2</v>
      </c>
      <c r="AG80" s="440">
        <f t="shared" si="30"/>
        <v>0.20492581602373888</v>
      </c>
      <c r="AH80" s="438">
        <f t="shared" si="31"/>
        <v>3.7566765578635017E-2</v>
      </c>
      <c r="AI80" s="752">
        <f>AH80-AH86</f>
        <v>8.9344945366650538E-3</v>
      </c>
      <c r="AK80" s="417" t="s">
        <v>94</v>
      </c>
      <c r="AL80" s="228"/>
      <c r="AM80" s="490">
        <f t="shared" si="20"/>
        <v>-908</v>
      </c>
      <c r="AN80" s="491">
        <f t="shared" si="21"/>
        <v>80</v>
      </c>
      <c r="AO80" s="502">
        <f t="shared" si="22"/>
        <v>1.6904114432647555E-2</v>
      </c>
      <c r="AP80" s="511">
        <f>AO80-AO86</f>
        <v>4.5170612991967396E-3</v>
      </c>
      <c r="AQ80" s="437">
        <f t="shared" si="23"/>
        <v>0.94886811577880392</v>
      </c>
      <c r="AR80" s="531" t="s">
        <v>339</v>
      </c>
      <c r="AS80" s="536">
        <f>AQ80-AQ86</f>
        <v>-6.4498782402657273E-2</v>
      </c>
      <c r="AT80" s="437">
        <f t="shared" si="24"/>
        <v>1.019970044932601</v>
      </c>
      <c r="AU80" s="526" t="s">
        <v>333</v>
      </c>
      <c r="AV80" s="707">
        <f>AT80-AT86</f>
        <v>-5.892926386044528E-2</v>
      </c>
    </row>
    <row r="81" spans="1:48" s="4" customFormat="1" ht="14" x14ac:dyDescent="0.3">
      <c r="A81" s="95" t="s">
        <v>95</v>
      </c>
      <c r="B81" s="140" t="s">
        <v>96</v>
      </c>
      <c r="D81" s="463">
        <v>4606</v>
      </c>
      <c r="E81" s="465">
        <v>1047</v>
      </c>
      <c r="G81" s="437">
        <f t="shared" si="19"/>
        <v>0.22731220147633521</v>
      </c>
      <c r="H81" s="711">
        <f>G81-G86</f>
        <v>3.5763783002089294E-2</v>
      </c>
      <c r="K81" s="417" t="s">
        <v>96</v>
      </c>
      <c r="M81" s="419">
        <v>4329</v>
      </c>
      <c r="N81" s="13">
        <f t="shared" si="25"/>
        <v>999</v>
      </c>
      <c r="O81" s="472">
        <v>845</v>
      </c>
      <c r="P81" s="473">
        <v>154</v>
      </c>
      <c r="R81" s="479">
        <f t="shared" si="26"/>
        <v>0.23076923076923078</v>
      </c>
      <c r="S81" s="741">
        <f>R81-R86</f>
        <v>2.9393252532420228E-2</v>
      </c>
      <c r="T81" s="440">
        <f t="shared" si="27"/>
        <v>0.19519519519519518</v>
      </c>
      <c r="U81" s="438">
        <f t="shared" si="28"/>
        <v>3.5574035574035573E-2</v>
      </c>
      <c r="V81" s="706">
        <f>U81-U86</f>
        <v>8.0274421720981301E-3</v>
      </c>
      <c r="X81" s="131" t="s">
        <v>96</v>
      </c>
      <c r="Z81" s="419">
        <v>4254</v>
      </c>
      <c r="AA81" s="425">
        <v>1028</v>
      </c>
      <c r="AB81" s="423">
        <v>866</v>
      </c>
      <c r="AC81" s="434">
        <v>162</v>
      </c>
      <c r="AE81" s="437">
        <f t="shared" si="29"/>
        <v>0.24165491302303715</v>
      </c>
      <c r="AF81" s="711">
        <f>AE81-AE86</f>
        <v>3.7719441415340421E-2</v>
      </c>
      <c r="AG81" s="440">
        <f t="shared" si="30"/>
        <v>0.20357310766337564</v>
      </c>
      <c r="AH81" s="438">
        <f t="shared" si="31"/>
        <v>3.8081805359661498E-2</v>
      </c>
      <c r="AI81" s="752">
        <f>AH81-AH86</f>
        <v>9.4495343176915353E-3</v>
      </c>
      <c r="AK81" s="417" t="s">
        <v>96</v>
      </c>
      <c r="AL81" s="228"/>
      <c r="AM81" s="490">
        <f t="shared" si="20"/>
        <v>-352</v>
      </c>
      <c r="AN81" s="491">
        <f t="shared" si="21"/>
        <v>-19</v>
      </c>
      <c r="AO81" s="502">
        <f t="shared" si="22"/>
        <v>1.4342711546701942E-2</v>
      </c>
      <c r="AP81" s="511">
        <f>AO81-AO86</f>
        <v>1.9556584132511268E-3</v>
      </c>
      <c r="AQ81" s="437">
        <f t="shared" si="23"/>
        <v>0.92357794181502384</v>
      </c>
      <c r="AR81" s="531" t="s">
        <v>339</v>
      </c>
      <c r="AS81" s="536">
        <f>AQ81-AQ86</f>
        <v>-8.9788956366437356E-2</v>
      </c>
      <c r="AT81" s="437">
        <f t="shared" si="24"/>
        <v>0.98185291308500477</v>
      </c>
      <c r="AU81" s="528" t="s">
        <v>337</v>
      </c>
      <c r="AV81" s="707">
        <f>AT81-AT86</f>
        <v>-9.7046395708041522E-2</v>
      </c>
    </row>
    <row r="82" spans="1:48" s="4" customFormat="1" ht="14" x14ac:dyDescent="0.3">
      <c r="A82" s="95" t="s">
        <v>95</v>
      </c>
      <c r="B82" s="140" t="s">
        <v>97</v>
      </c>
      <c r="D82" s="463">
        <v>5551</v>
      </c>
      <c r="E82" s="465">
        <v>1190</v>
      </c>
      <c r="G82" s="437">
        <f t="shared" si="19"/>
        <v>0.21437578814627994</v>
      </c>
      <c r="H82" s="711">
        <f>G82-G86</f>
        <v>2.2827369672034026E-2</v>
      </c>
      <c r="K82" s="417" t="s">
        <v>97</v>
      </c>
      <c r="M82" s="419">
        <v>5253</v>
      </c>
      <c r="N82" s="13">
        <f t="shared" si="25"/>
        <v>1274</v>
      </c>
      <c r="O82" s="472">
        <v>1087</v>
      </c>
      <c r="P82" s="473">
        <v>187</v>
      </c>
      <c r="R82" s="479">
        <f t="shared" si="26"/>
        <v>0.24252807919284219</v>
      </c>
      <c r="S82" s="741">
        <f>R82-R86</f>
        <v>4.115210095603164E-2</v>
      </c>
      <c r="T82" s="440">
        <f t="shared" si="27"/>
        <v>0.20692937369122405</v>
      </c>
      <c r="U82" s="438">
        <f t="shared" si="28"/>
        <v>3.5598705501618123E-2</v>
      </c>
      <c r="V82" s="706">
        <f>U82-U86</f>
        <v>8.0521120996806805E-3</v>
      </c>
      <c r="X82" s="131" t="s">
        <v>97</v>
      </c>
      <c r="Z82" s="419">
        <v>5106</v>
      </c>
      <c r="AA82" s="425">
        <v>1304</v>
      </c>
      <c r="AB82" s="422">
        <v>1118</v>
      </c>
      <c r="AC82" s="434">
        <v>186</v>
      </c>
      <c r="AE82" s="437">
        <f t="shared" si="29"/>
        <v>0.25538582060321191</v>
      </c>
      <c r="AF82" s="713">
        <f>AE82-AE86</f>
        <v>5.1450348995515177E-2</v>
      </c>
      <c r="AG82" s="440">
        <f t="shared" si="30"/>
        <v>0.21895808852330592</v>
      </c>
      <c r="AH82" s="438">
        <f t="shared" si="31"/>
        <v>3.6427732079905996E-2</v>
      </c>
      <c r="AI82" s="752">
        <f>AH82-AH86</f>
        <v>7.7954610379360328E-3</v>
      </c>
      <c r="AK82" s="417" t="s">
        <v>97</v>
      </c>
      <c r="AL82" s="228"/>
      <c r="AM82" s="490">
        <f t="shared" si="20"/>
        <v>-445</v>
      </c>
      <c r="AN82" s="491">
        <f t="shared" si="21"/>
        <v>114</v>
      </c>
      <c r="AO82" s="502">
        <f t="shared" si="22"/>
        <v>4.1010032456931966E-2</v>
      </c>
      <c r="AP82" s="511">
        <f>AO82-AO86</f>
        <v>2.8622979323481151E-2</v>
      </c>
      <c r="AQ82" s="437">
        <f t="shared" si="23"/>
        <v>0.91983426409655922</v>
      </c>
      <c r="AR82" s="531" t="s">
        <v>339</v>
      </c>
      <c r="AS82" s="536">
        <f>AQ82-AQ86</f>
        <v>-9.3532634084901978E-2</v>
      </c>
      <c r="AT82" s="437">
        <f t="shared" si="24"/>
        <v>1.0957983193277312</v>
      </c>
      <c r="AU82" s="524" t="s">
        <v>334</v>
      </c>
      <c r="AV82" s="704">
        <f>AT82-AT86</f>
        <v>1.68990105346849E-2</v>
      </c>
    </row>
    <row r="83" spans="1:48" s="4" customFormat="1" ht="14" x14ac:dyDescent="0.3">
      <c r="A83" s="95" t="s">
        <v>95</v>
      </c>
      <c r="B83" s="140" t="s">
        <v>98</v>
      </c>
      <c r="D83" s="463">
        <v>3556</v>
      </c>
      <c r="E83" s="466">
        <v>770</v>
      </c>
      <c r="G83" s="437">
        <f t="shared" si="19"/>
        <v>0.21653543307086615</v>
      </c>
      <c r="H83" s="711">
        <f>G83-G86</f>
        <v>2.4987014596620227E-2</v>
      </c>
      <c r="K83" s="417" t="s">
        <v>98</v>
      </c>
      <c r="M83" s="419">
        <v>3197</v>
      </c>
      <c r="N83" s="13">
        <f t="shared" si="25"/>
        <v>732</v>
      </c>
      <c r="O83" s="472">
        <v>631</v>
      </c>
      <c r="P83" s="473">
        <v>101</v>
      </c>
      <c r="R83" s="479">
        <f t="shared" si="26"/>
        <v>0.22896465436346575</v>
      </c>
      <c r="S83" s="741">
        <f>R83-R86</f>
        <v>2.7588676126655193E-2</v>
      </c>
      <c r="T83" s="440">
        <f t="shared" si="27"/>
        <v>0.19737253675320612</v>
      </c>
      <c r="U83" s="438">
        <f t="shared" si="28"/>
        <v>3.1592117610259617E-2</v>
      </c>
      <c r="V83" s="706">
        <f>U83-U86</f>
        <v>4.0455242083221737E-3</v>
      </c>
      <c r="X83" s="131" t="s">
        <v>98</v>
      </c>
      <c r="Z83" s="419">
        <v>3137</v>
      </c>
      <c r="AA83" s="426">
        <v>738</v>
      </c>
      <c r="AB83" s="423">
        <v>636</v>
      </c>
      <c r="AC83" s="434">
        <v>102</v>
      </c>
      <c r="AE83" s="437">
        <f t="shared" si="29"/>
        <v>0.23525661459993624</v>
      </c>
      <c r="AF83" s="711">
        <f>AE83-AE86</f>
        <v>3.1321142992239509E-2</v>
      </c>
      <c r="AG83" s="440">
        <f t="shared" si="30"/>
        <v>0.20274147274466051</v>
      </c>
      <c r="AH83" s="438">
        <f t="shared" si="31"/>
        <v>3.2515141855275743E-2</v>
      </c>
      <c r="AI83" s="752">
        <f>AH83-AH86</f>
        <v>3.8828708133057804E-3</v>
      </c>
      <c r="AK83" s="417" t="s">
        <v>98</v>
      </c>
      <c r="AL83" s="228"/>
      <c r="AM83" s="490">
        <f t="shared" si="20"/>
        <v>-419</v>
      </c>
      <c r="AN83" s="491">
        <f t="shared" si="21"/>
        <v>-32</v>
      </c>
      <c r="AO83" s="502">
        <f t="shared" si="22"/>
        <v>1.8721181529070097E-2</v>
      </c>
      <c r="AP83" s="511">
        <f>AO83-AO86</f>
        <v>6.3341283956192818E-3</v>
      </c>
      <c r="AQ83" s="437">
        <f t="shared" si="23"/>
        <v>0.88217097862767158</v>
      </c>
      <c r="AR83" s="532" t="s">
        <v>340</v>
      </c>
      <c r="AS83" s="538">
        <f>AQ83-AQ86</f>
        <v>-0.13119591955378962</v>
      </c>
      <c r="AT83" s="437">
        <f t="shared" si="24"/>
        <v>0.95844155844155843</v>
      </c>
      <c r="AU83" s="528" t="s">
        <v>337</v>
      </c>
      <c r="AV83" s="709">
        <f>AT83-AT86</f>
        <v>-0.12045775035148787</v>
      </c>
    </row>
    <row r="84" spans="1:48" s="4" customFormat="1" ht="14" x14ac:dyDescent="0.3">
      <c r="A84" s="95" t="s">
        <v>95</v>
      </c>
      <c r="B84" s="140" t="s">
        <v>99</v>
      </c>
      <c r="D84" s="463">
        <v>10942</v>
      </c>
      <c r="E84" s="465">
        <v>2109</v>
      </c>
      <c r="G84" s="437">
        <f t="shared" si="19"/>
        <v>0.19274355693657466</v>
      </c>
      <c r="H84" s="711">
        <f>G84-G86</f>
        <v>1.1951384623287431E-3</v>
      </c>
      <c r="K84" s="417" t="s">
        <v>99</v>
      </c>
      <c r="M84" s="419">
        <v>10695</v>
      </c>
      <c r="N84" s="13">
        <f t="shared" si="25"/>
        <v>2197</v>
      </c>
      <c r="O84" s="472">
        <v>1883</v>
      </c>
      <c r="P84" s="473">
        <v>314</v>
      </c>
      <c r="R84" s="479">
        <f t="shared" si="26"/>
        <v>0.20542309490416083</v>
      </c>
      <c r="S84" s="741">
        <f>R84-R86</f>
        <v>4.0471166673502756E-3</v>
      </c>
      <c r="T84" s="440">
        <f t="shared" si="27"/>
        <v>0.17606358111266948</v>
      </c>
      <c r="U84" s="438">
        <f t="shared" si="28"/>
        <v>2.9359513791491352E-2</v>
      </c>
      <c r="V84" s="706">
        <f>U84-U86</f>
        <v>1.8129203895539091E-3</v>
      </c>
      <c r="X84" s="131" t="s">
        <v>99</v>
      </c>
      <c r="Z84" s="419">
        <v>10686</v>
      </c>
      <c r="AA84" s="425">
        <v>2231</v>
      </c>
      <c r="AB84" s="422">
        <v>1917</v>
      </c>
      <c r="AC84" s="434">
        <v>314</v>
      </c>
      <c r="AE84" s="437">
        <f t="shared" si="29"/>
        <v>0.20877784016470147</v>
      </c>
      <c r="AF84" s="711">
        <f>AE84-AE86</f>
        <v>4.8423685570047337E-3</v>
      </c>
      <c r="AG84" s="440">
        <f t="shared" si="30"/>
        <v>0.1793935991016283</v>
      </c>
      <c r="AH84" s="438">
        <f t="shared" si="31"/>
        <v>2.9384241063073181E-2</v>
      </c>
      <c r="AI84" s="752">
        <f>AH84-AH86</f>
        <v>7.5197002110321751E-4</v>
      </c>
      <c r="AK84" s="417" t="s">
        <v>99</v>
      </c>
      <c r="AL84" s="228"/>
      <c r="AM84" s="490">
        <f t="shared" si="20"/>
        <v>-256</v>
      </c>
      <c r="AN84" s="491">
        <f t="shared" si="21"/>
        <v>122</v>
      </c>
      <c r="AO84" s="502">
        <f t="shared" si="22"/>
        <v>1.6034283228126806E-2</v>
      </c>
      <c r="AP84" s="511">
        <f>AO84-AO86</f>
        <v>3.6472300946759906E-3</v>
      </c>
      <c r="AQ84" s="437">
        <f t="shared" si="23"/>
        <v>0.97660391153354054</v>
      </c>
      <c r="AR84" s="528" t="s">
        <v>337</v>
      </c>
      <c r="AS84" s="535">
        <f>AQ84-AQ86</f>
        <v>-3.6762986647920659E-2</v>
      </c>
      <c r="AT84" s="437">
        <f t="shared" si="24"/>
        <v>1.0578473210052157</v>
      </c>
      <c r="AU84" s="524" t="s">
        <v>334</v>
      </c>
      <c r="AV84" s="706">
        <f>AT84-AT86</f>
        <v>-2.1051987787830573E-2</v>
      </c>
    </row>
    <row r="85" spans="1:48" s="4" customFormat="1" thickBot="1" x14ac:dyDescent="0.35">
      <c r="A85" s="134" t="s">
        <v>95</v>
      </c>
      <c r="B85" s="141" t="s">
        <v>100</v>
      </c>
      <c r="D85" s="468">
        <v>12242</v>
      </c>
      <c r="E85" s="469">
        <v>2810</v>
      </c>
      <c r="G85" s="441">
        <f t="shared" si="19"/>
        <v>0.22953765724554812</v>
      </c>
      <c r="H85" s="712">
        <f>G85-G86</f>
        <v>3.7989238771302197E-2</v>
      </c>
      <c r="K85" s="418" t="s">
        <v>100</v>
      </c>
      <c r="M85" s="427">
        <v>11532</v>
      </c>
      <c r="N85" s="478">
        <f t="shared" si="25"/>
        <v>2803</v>
      </c>
      <c r="O85" s="474">
        <v>2368</v>
      </c>
      <c r="P85" s="372">
        <v>435</v>
      </c>
      <c r="R85" s="480">
        <f t="shared" si="26"/>
        <v>0.24306278182448837</v>
      </c>
      <c r="S85" s="742">
        <f>R85-R86</f>
        <v>4.1686803587677818E-2</v>
      </c>
      <c r="T85" s="442">
        <f t="shared" si="27"/>
        <v>0.20534165799514395</v>
      </c>
      <c r="U85" s="459">
        <f t="shared" si="28"/>
        <v>3.7721123829344436E-2</v>
      </c>
      <c r="V85" s="749">
        <f>U85-U86</f>
        <v>1.0174530427406993E-2</v>
      </c>
      <c r="X85" s="132" t="s">
        <v>100</v>
      </c>
      <c r="Z85" s="427">
        <v>11486</v>
      </c>
      <c r="AA85" s="428">
        <v>2811</v>
      </c>
      <c r="AB85" s="429">
        <v>2373</v>
      </c>
      <c r="AC85" s="436">
        <v>438</v>
      </c>
      <c r="AE85" s="441">
        <f t="shared" si="29"/>
        <v>0.24473271809158975</v>
      </c>
      <c r="AF85" s="712">
        <f>AE85-AE86</f>
        <v>4.0797246483893018E-2</v>
      </c>
      <c r="AG85" s="442">
        <f t="shared" si="30"/>
        <v>0.20659933832491728</v>
      </c>
      <c r="AH85" s="459">
        <f t="shared" si="31"/>
        <v>3.8133379766672471E-2</v>
      </c>
      <c r="AI85" s="753">
        <f>AH85-AH86</f>
        <v>9.5011087247025075E-3</v>
      </c>
      <c r="AK85" s="418" t="s">
        <v>100</v>
      </c>
      <c r="AL85" s="228"/>
      <c r="AM85" s="492">
        <f t="shared" si="20"/>
        <v>-756</v>
      </c>
      <c r="AN85" s="493">
        <f t="shared" si="21"/>
        <v>1</v>
      </c>
      <c r="AO85" s="503">
        <f t="shared" si="22"/>
        <v>1.5195060846041636E-2</v>
      </c>
      <c r="AP85" s="509">
        <f>AO85-AO86</f>
        <v>2.8080077125908209E-3</v>
      </c>
      <c r="AQ85" s="441">
        <f t="shared" si="23"/>
        <v>0.93824538474105534</v>
      </c>
      <c r="AR85" s="533" t="s">
        <v>339</v>
      </c>
      <c r="AS85" s="537">
        <f>AQ85-AQ86</f>
        <v>-7.5121513440405852E-2</v>
      </c>
      <c r="AT85" s="441">
        <f t="shared" si="24"/>
        <v>1.000355871886121</v>
      </c>
      <c r="AU85" s="534" t="s">
        <v>333</v>
      </c>
      <c r="AV85" s="708">
        <f>AT85-AT86</f>
        <v>-7.8543436906925335E-2</v>
      </c>
    </row>
    <row r="86" spans="1:48" s="4" customFormat="1" thickBot="1" x14ac:dyDescent="0.35">
      <c r="A86" s="147"/>
      <c r="B86" s="142" t="s">
        <v>145</v>
      </c>
      <c r="D86" s="470">
        <f>SUM(D7:D85)</f>
        <v>1354989</v>
      </c>
      <c r="E86" s="34">
        <f>SUM(E7:E85)</f>
        <v>259546</v>
      </c>
      <c r="G86" s="443">
        <f t="shared" si="19"/>
        <v>0.19154841847424592</v>
      </c>
      <c r="H86" s="462">
        <f>G86-G86</f>
        <v>0</v>
      </c>
      <c r="K86" s="142" t="s">
        <v>145</v>
      </c>
      <c r="M86" s="23">
        <v>1368917</v>
      </c>
      <c r="N86" s="34">
        <f>O86+P86</f>
        <v>275667</v>
      </c>
      <c r="O86" s="475">
        <v>237958</v>
      </c>
      <c r="P86" s="476">
        <v>37709</v>
      </c>
      <c r="R86" s="481">
        <f t="shared" si="26"/>
        <v>0.20137597823681055</v>
      </c>
      <c r="S86" s="481">
        <f>R86-R86</f>
        <v>0</v>
      </c>
      <c r="T86" s="444">
        <f t="shared" si="27"/>
        <v>0.17382938483487312</v>
      </c>
      <c r="U86" s="460">
        <f t="shared" si="28"/>
        <v>2.7546593401937443E-2</v>
      </c>
      <c r="V86" s="506">
        <f>U86-U86</f>
        <v>0</v>
      </c>
      <c r="X86" s="142" t="s">
        <v>145</v>
      </c>
      <c r="Z86" s="23">
        <v>1373101</v>
      </c>
      <c r="AA86" s="430">
        <f>SUM(AA7:AA85)</f>
        <v>280024</v>
      </c>
      <c r="AB86" s="431">
        <f>SUM(AB7:AB85)</f>
        <v>240709</v>
      </c>
      <c r="AC86" s="432">
        <f>SUM(AC7:AC85)</f>
        <v>39315</v>
      </c>
      <c r="AE86" s="443">
        <f t="shared" si="29"/>
        <v>0.20393547160769673</v>
      </c>
      <c r="AF86" s="462">
        <f>AE86-AE86</f>
        <v>0</v>
      </c>
      <c r="AG86" s="444">
        <f t="shared" si="30"/>
        <v>0.17530320056572676</v>
      </c>
      <c r="AH86" s="460">
        <f t="shared" si="31"/>
        <v>2.8632271041969963E-2</v>
      </c>
      <c r="AI86" s="461">
        <f>AH86-AH86</f>
        <v>0</v>
      </c>
      <c r="AK86" s="142" t="s">
        <v>145</v>
      </c>
      <c r="AL86" s="155"/>
      <c r="AM86" s="494">
        <f t="shared" si="20"/>
        <v>18112</v>
      </c>
      <c r="AN86" s="495">
        <f t="shared" si="21"/>
        <v>20478</v>
      </c>
      <c r="AO86" s="504">
        <f t="shared" si="22"/>
        <v>1.2387053133450815E-2</v>
      </c>
      <c r="AP86" s="510">
        <f>AO86-AO86</f>
        <v>0</v>
      </c>
      <c r="AQ86" s="443">
        <f t="shared" si="23"/>
        <v>1.0133668981814612</v>
      </c>
      <c r="AR86" s="527" t="s">
        <v>333</v>
      </c>
      <c r="AS86" s="505">
        <f>AQ86-AQ86</f>
        <v>0</v>
      </c>
      <c r="AT86" s="443">
        <f t="shared" si="24"/>
        <v>1.0788993087930463</v>
      </c>
      <c r="AU86" s="525" t="s">
        <v>334</v>
      </c>
      <c r="AV86" s="506">
        <f>AT86-AT86</f>
        <v>0</v>
      </c>
    </row>
    <row r="87" spans="1:48" s="4" customFormat="1" ht="14" x14ac:dyDescent="0.3"/>
    <row r="88" spans="1:48" s="3" customFormat="1" ht="14" x14ac:dyDescent="0.3">
      <c r="A88" s="4" t="s">
        <v>446</v>
      </c>
      <c r="B88" s="53"/>
      <c r="C88" s="53"/>
      <c r="D88" s="703"/>
      <c r="E88" s="98"/>
      <c r="F88" s="98"/>
      <c r="G88" s="84"/>
      <c r="H88" s="84"/>
      <c r="I88" s="84"/>
      <c r="K88" s="84"/>
      <c r="L88" s="84"/>
      <c r="Q88" s="84"/>
      <c r="R88" s="84"/>
      <c r="S88" s="84"/>
      <c r="T88" s="84"/>
      <c r="U88" s="84"/>
      <c r="V88" s="84"/>
      <c r="W88" s="84"/>
      <c r="Z88" s="27"/>
      <c r="AH88" s="84"/>
      <c r="AI88" s="84"/>
    </row>
    <row r="89" spans="1:48" s="3" customFormat="1" ht="14" x14ac:dyDescent="0.3">
      <c r="A89" s="84"/>
      <c r="B89" s="84"/>
      <c r="C89" s="84"/>
      <c r="D89" s="84"/>
      <c r="E89" s="84"/>
      <c r="F89" s="84"/>
      <c r="G89" s="84"/>
      <c r="H89" s="84"/>
      <c r="I89" s="84"/>
      <c r="K89" s="84"/>
      <c r="L89" s="84"/>
      <c r="Q89" s="84"/>
      <c r="R89" s="84"/>
      <c r="S89" s="84"/>
      <c r="T89" s="84"/>
      <c r="U89" s="84"/>
      <c r="V89" s="84"/>
      <c r="W89" s="84"/>
    </row>
    <row r="90" spans="1:48" s="3" customFormat="1" ht="14" x14ac:dyDescent="0.3">
      <c r="A90" s="84" t="s">
        <v>207</v>
      </c>
      <c r="B90" s="84"/>
      <c r="C90" s="84"/>
      <c r="D90" s="84"/>
      <c r="E90" s="84"/>
      <c r="F90" s="84"/>
      <c r="G90" s="84"/>
      <c r="H90" s="84"/>
      <c r="I90" s="84"/>
      <c r="K90" s="84"/>
      <c r="L90" s="84"/>
      <c r="M90" s="40" t="s">
        <v>345</v>
      </c>
      <c r="W90" s="84"/>
      <c r="Z90" s="40" t="s">
        <v>345</v>
      </c>
      <c r="AH90" s="84"/>
      <c r="AI90" s="84"/>
      <c r="AM90" s="40" t="s">
        <v>345</v>
      </c>
    </row>
    <row r="91" spans="1:48" s="3" customFormat="1" ht="14" x14ac:dyDescent="0.3">
      <c r="A91" s="3" t="s">
        <v>309</v>
      </c>
      <c r="M91" s="53" t="s">
        <v>447</v>
      </c>
      <c r="R91" s="4"/>
      <c r="S91" s="4"/>
      <c r="Y91" s="57"/>
      <c r="Z91" s="53" t="s">
        <v>468</v>
      </c>
      <c r="AA91" s="53"/>
      <c r="AB91" s="53"/>
      <c r="AC91" s="53"/>
      <c r="AD91" s="53"/>
      <c r="AE91" s="53"/>
      <c r="AF91" s="53"/>
      <c r="AG91" s="53"/>
      <c r="AH91" s="53"/>
      <c r="AI91" s="53"/>
      <c r="AM91" s="53" t="s">
        <v>445</v>
      </c>
      <c r="AR91" s="4"/>
      <c r="AS91" s="4"/>
    </row>
    <row r="92" spans="1:48" s="3" customFormat="1" ht="14" x14ac:dyDescent="0.3">
      <c r="A92" s="3" t="s">
        <v>305</v>
      </c>
      <c r="N92" s="58"/>
      <c r="O92" s="57" t="s">
        <v>418</v>
      </c>
      <c r="R92" s="55"/>
      <c r="S92" s="3" t="s">
        <v>346</v>
      </c>
      <c r="Y92" s="57"/>
      <c r="AA92" s="58"/>
      <c r="AB92" s="57" t="s">
        <v>418</v>
      </c>
      <c r="AE92" s="55"/>
      <c r="AF92" s="3" t="s">
        <v>346</v>
      </c>
      <c r="AN92" s="58"/>
      <c r="AO92" s="3" t="s">
        <v>338</v>
      </c>
      <c r="AR92" s="55"/>
      <c r="AS92" s="57" t="s">
        <v>414</v>
      </c>
      <c r="AT92" s="57"/>
    </row>
    <row r="93" spans="1:48" s="3" customFormat="1" ht="14" x14ac:dyDescent="0.3">
      <c r="A93" s="3" t="s">
        <v>310</v>
      </c>
      <c r="N93" s="59"/>
      <c r="O93" s="57" t="s">
        <v>419</v>
      </c>
      <c r="R93" s="56"/>
      <c r="S93" s="3" t="s">
        <v>347</v>
      </c>
      <c r="Y93" s="57"/>
      <c r="AA93" s="59"/>
      <c r="AB93" s="57" t="s">
        <v>419</v>
      </c>
      <c r="AE93" s="56"/>
      <c r="AF93" s="3" t="s">
        <v>347</v>
      </c>
      <c r="AN93" s="59"/>
      <c r="AO93" s="3" t="s">
        <v>330</v>
      </c>
      <c r="AR93" s="56"/>
      <c r="AS93" s="57" t="s">
        <v>415</v>
      </c>
      <c r="AT93" s="57"/>
    </row>
    <row r="94" spans="1:48" s="3" customFormat="1" ht="14" x14ac:dyDescent="0.3">
      <c r="A94" s="3" t="s">
        <v>306</v>
      </c>
      <c r="N94" s="60"/>
      <c r="O94" s="57" t="s">
        <v>360</v>
      </c>
      <c r="R94" s="54"/>
      <c r="S94" s="3" t="s">
        <v>317</v>
      </c>
      <c r="Y94" s="42"/>
      <c r="AA94" s="60"/>
      <c r="AB94" s="57" t="s">
        <v>360</v>
      </c>
      <c r="AE94" s="54"/>
      <c r="AF94" s="3" t="s">
        <v>317</v>
      </c>
      <c r="AN94" s="60"/>
      <c r="AO94" s="3" t="s">
        <v>331</v>
      </c>
      <c r="AR94" s="54"/>
      <c r="AS94" s="57" t="s">
        <v>416</v>
      </c>
      <c r="AT94" s="57"/>
    </row>
    <row r="95" spans="1:48" s="3" customFormat="1" ht="14" x14ac:dyDescent="0.3">
      <c r="A95" s="3" t="s">
        <v>311</v>
      </c>
      <c r="N95" s="61"/>
      <c r="O95" s="57" t="s">
        <v>420</v>
      </c>
      <c r="R95" s="43"/>
      <c r="S95" s="3" t="s">
        <v>348</v>
      </c>
      <c r="AA95" s="61"/>
      <c r="AB95" s="57" t="s">
        <v>420</v>
      </c>
      <c r="AE95" s="43"/>
      <c r="AF95" s="3" t="s">
        <v>348</v>
      </c>
      <c r="AN95" s="61"/>
      <c r="AO95" s="3" t="s">
        <v>332</v>
      </c>
      <c r="AR95" s="43"/>
      <c r="AS95" s="57" t="s">
        <v>417</v>
      </c>
      <c r="AT95" s="42"/>
    </row>
    <row r="96" spans="1:48" s="3" customFormat="1" ht="14" x14ac:dyDescent="0.3">
      <c r="A96" s="3" t="s">
        <v>306</v>
      </c>
    </row>
    <row r="97" spans="1:46" s="3" customFormat="1" ht="14" x14ac:dyDescent="0.3">
      <c r="A97" s="3" t="s">
        <v>307</v>
      </c>
      <c r="AM97" s="53" t="s">
        <v>467</v>
      </c>
      <c r="AR97" s="4"/>
      <c r="AS97" s="4"/>
    </row>
    <row r="98" spans="1:46" s="3" customFormat="1" ht="14" x14ac:dyDescent="0.3">
      <c r="A98" s="3" t="s">
        <v>308</v>
      </c>
      <c r="AN98" s="58"/>
      <c r="AO98" s="3" t="s">
        <v>346</v>
      </c>
      <c r="AR98" s="55"/>
      <c r="AS98" s="57" t="s">
        <v>418</v>
      </c>
      <c r="AT98" s="57"/>
    </row>
    <row r="99" spans="1:46" s="3" customFormat="1" ht="14" x14ac:dyDescent="0.3">
      <c r="A99" s="39"/>
      <c r="B99" s="39"/>
      <c r="C99" s="39"/>
      <c r="D99" s="39"/>
      <c r="E99" s="39"/>
      <c r="F99" s="39"/>
      <c r="G99" s="39"/>
      <c r="H99" s="39"/>
      <c r="I99" s="39"/>
      <c r="K99" s="39"/>
      <c r="L99" s="39"/>
      <c r="M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N99" s="59"/>
      <c r="AO99" s="3" t="s">
        <v>347</v>
      </c>
      <c r="AR99" s="56"/>
      <c r="AS99" s="57" t="s">
        <v>419</v>
      </c>
      <c r="AT99" s="57"/>
    </row>
    <row r="100" spans="1:46" s="3" customFormat="1" ht="14" x14ac:dyDescent="0.3">
      <c r="AN100" s="60"/>
      <c r="AO100" s="3" t="s">
        <v>317</v>
      </c>
      <c r="AR100" s="54"/>
      <c r="AS100" s="57" t="s">
        <v>360</v>
      </c>
      <c r="AT100" s="57"/>
    </row>
    <row r="101" spans="1:46" s="3" customFormat="1" ht="14" x14ac:dyDescent="0.3">
      <c r="AN101" s="61"/>
      <c r="AO101" s="3" t="s">
        <v>348</v>
      </c>
      <c r="AR101" s="43"/>
      <c r="AS101" s="57" t="s">
        <v>420</v>
      </c>
      <c r="AT101" s="42"/>
    </row>
    <row r="102" spans="1:46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S102" s="3"/>
      <c r="T102" s="3"/>
      <c r="U102" s="3"/>
      <c r="V102" s="3"/>
      <c r="W102" s="3"/>
    </row>
  </sheetData>
  <mergeCells count="5">
    <mergeCell ref="AK4:AK6"/>
    <mergeCell ref="A4:A6"/>
    <mergeCell ref="B4:B6"/>
    <mergeCell ref="K4:K6"/>
    <mergeCell ref="X4:X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AD1E-0780-4681-9EA2-65BB38D036A9}">
  <dimension ref="A1:AI125"/>
  <sheetViews>
    <sheetView topLeftCell="A73" zoomScale="130" zoomScaleNormal="130" workbookViewId="0">
      <selection activeCell="AE13" sqref="AE13"/>
    </sheetView>
  </sheetViews>
  <sheetFormatPr defaultRowHeight="14.5" x14ac:dyDescent="0.35"/>
  <cols>
    <col min="1" max="1" width="4.08984375" customWidth="1"/>
    <col min="2" max="2" width="10.90625" customWidth="1"/>
    <col min="3" max="3" width="18.453125" customWidth="1"/>
    <col min="4" max="4" width="3.1796875" customWidth="1"/>
    <col min="5" max="5" width="15.81640625" customWidth="1"/>
    <col min="6" max="6" width="11.36328125" customWidth="1"/>
    <col min="7" max="7" width="11.1796875" customWidth="1"/>
    <col min="8" max="8" width="3.453125" customWidth="1"/>
    <col min="9" max="9" width="10.6328125" customWidth="1"/>
    <col min="10" max="10" width="11.81640625" customWidth="1"/>
    <col min="11" max="11" width="13.36328125" customWidth="1"/>
    <col min="12" max="12" width="3.6328125" customWidth="1"/>
    <col min="13" max="13" width="3.7265625" customWidth="1"/>
    <col min="14" max="14" width="10.36328125" customWidth="1"/>
    <col min="15" max="15" width="18.453125" customWidth="1"/>
    <col min="16" max="16" width="2.90625" customWidth="1"/>
    <col min="17" max="17" width="11.1796875" customWidth="1"/>
    <col min="18" max="18" width="12.08984375" customWidth="1"/>
    <col min="19" max="19" width="12.54296875" customWidth="1"/>
    <col min="20" max="20" width="2.54296875" customWidth="1"/>
    <col min="21" max="21" width="11" customWidth="1"/>
    <col min="22" max="22" width="10.81640625" customWidth="1"/>
    <col min="23" max="23" width="11.7265625" customWidth="1"/>
    <col min="24" max="24" width="10.90625" customWidth="1"/>
    <col min="25" max="25" width="11.1796875" customWidth="1"/>
    <col min="26" max="26" width="2.7265625" customWidth="1"/>
    <col min="27" max="27" width="18.453125" customWidth="1"/>
    <col min="28" max="28" width="12.08984375" customWidth="1"/>
    <col min="29" max="29" width="13.6328125" customWidth="1"/>
    <col min="30" max="30" width="12.6328125" customWidth="1"/>
    <col min="31" max="31" width="13.7265625" customWidth="1"/>
    <col min="32" max="32" width="12.6328125" customWidth="1"/>
    <col min="33" max="33" width="12.453125" customWidth="1"/>
    <col min="34" max="34" width="13.08984375" customWidth="1"/>
    <col min="35" max="35" width="13.26953125" customWidth="1"/>
    <col min="36" max="36" width="10.7265625" customWidth="1"/>
    <col min="37" max="37" width="19.81640625" customWidth="1"/>
  </cols>
  <sheetData>
    <row r="1" spans="2:35" s="3" customFormat="1" x14ac:dyDescent="0.35">
      <c r="C1" s="4" t="s">
        <v>181</v>
      </c>
      <c r="Q1" s="669"/>
      <c r="R1" s="669"/>
      <c r="S1" s="669"/>
      <c r="U1" s="814"/>
      <c r="V1" s="815"/>
      <c r="W1" s="815"/>
      <c r="X1" s="815"/>
      <c r="Y1" s="665"/>
    </row>
    <row r="2" spans="2:35" s="3" customFormat="1" thickBot="1" x14ac:dyDescent="0.35">
      <c r="U2" s="666"/>
      <c r="V2" s="666"/>
      <c r="W2" s="667"/>
      <c r="X2" s="668"/>
      <c r="Y2" s="668"/>
    </row>
    <row r="3" spans="2:35" s="3" customFormat="1" ht="14" x14ac:dyDescent="0.3">
      <c r="B3" s="774" t="s">
        <v>0</v>
      </c>
      <c r="C3" s="777" t="s">
        <v>1</v>
      </c>
      <c r="D3" s="269"/>
      <c r="E3" s="181" t="s">
        <v>253</v>
      </c>
      <c r="F3" s="182"/>
      <c r="G3" s="183"/>
      <c r="I3" s="69" t="s">
        <v>200</v>
      </c>
      <c r="J3" s="70"/>
      <c r="K3" s="71"/>
      <c r="L3" s="4"/>
      <c r="M3" s="4"/>
      <c r="N3" s="774" t="s">
        <v>0</v>
      </c>
      <c r="O3" s="777" t="s">
        <v>1</v>
      </c>
      <c r="Q3" s="75" t="s">
        <v>200</v>
      </c>
      <c r="R3" s="76"/>
      <c r="S3" s="77"/>
      <c r="U3" s="188" t="s">
        <v>292</v>
      </c>
      <c r="V3" s="189"/>
      <c r="W3" s="189"/>
      <c r="X3" s="189"/>
      <c r="Y3" s="190"/>
      <c r="Z3" s="124"/>
      <c r="AA3" s="796" t="s">
        <v>1</v>
      </c>
      <c r="AB3" s="300" t="s">
        <v>294</v>
      </c>
      <c r="AC3" s="165"/>
      <c r="AD3" s="165"/>
      <c r="AE3" s="165"/>
      <c r="AF3" s="165"/>
      <c r="AG3" s="165"/>
      <c r="AH3" s="165"/>
      <c r="AI3" s="301"/>
    </row>
    <row r="4" spans="2:35" s="3" customFormat="1" thickBot="1" x14ac:dyDescent="0.35">
      <c r="B4" s="775"/>
      <c r="C4" s="778"/>
      <c r="D4" s="269"/>
      <c r="E4" s="295">
        <v>44986</v>
      </c>
      <c r="F4" s="184">
        <v>44986</v>
      </c>
      <c r="G4" s="185">
        <v>45352</v>
      </c>
      <c r="I4" s="72" t="s">
        <v>215</v>
      </c>
      <c r="J4" s="73"/>
      <c r="K4" s="51"/>
      <c r="L4" s="4"/>
      <c r="M4" s="4"/>
      <c r="N4" s="775"/>
      <c r="O4" s="778"/>
      <c r="Q4" s="78" t="s">
        <v>214</v>
      </c>
      <c r="R4" s="79"/>
      <c r="S4" s="80"/>
      <c r="U4" s="197" t="s">
        <v>293</v>
      </c>
      <c r="V4" s="56"/>
      <c r="W4" s="56"/>
      <c r="X4" s="56"/>
      <c r="Y4" s="247"/>
      <c r="AA4" s="797"/>
      <c r="AB4" s="312" t="s">
        <v>257</v>
      </c>
      <c r="AC4" s="312" t="s">
        <v>258</v>
      </c>
      <c r="AD4" s="392" t="s">
        <v>288</v>
      </c>
      <c r="AE4" s="312" t="s">
        <v>289</v>
      </c>
      <c r="AF4" s="312" t="s">
        <v>259</v>
      </c>
      <c r="AG4" s="312" t="s">
        <v>263</v>
      </c>
      <c r="AH4" s="312" t="s">
        <v>263</v>
      </c>
      <c r="AI4" s="313" t="s">
        <v>264</v>
      </c>
    </row>
    <row r="5" spans="2:35" s="3" customFormat="1" thickBot="1" x14ac:dyDescent="0.35">
      <c r="B5" s="776"/>
      <c r="C5" s="779"/>
      <c r="D5" s="269"/>
      <c r="E5" s="296" t="s">
        <v>234</v>
      </c>
      <c r="F5" s="186" t="s">
        <v>132</v>
      </c>
      <c r="G5" s="187" t="s">
        <v>132</v>
      </c>
      <c r="I5" s="74" t="s">
        <v>134</v>
      </c>
      <c r="J5" s="82" t="s">
        <v>133</v>
      </c>
      <c r="K5" s="52" t="s">
        <v>135</v>
      </c>
      <c r="L5" s="28"/>
      <c r="M5" s="28"/>
      <c r="N5" s="776"/>
      <c r="O5" s="779"/>
      <c r="Q5" s="179" t="s">
        <v>134</v>
      </c>
      <c r="R5" s="83" t="s">
        <v>133</v>
      </c>
      <c r="S5" s="81" t="s">
        <v>135</v>
      </c>
      <c r="U5" s="356">
        <v>44986</v>
      </c>
      <c r="V5" s="357">
        <v>45108</v>
      </c>
      <c r="W5" s="357">
        <v>45200</v>
      </c>
      <c r="X5" s="357">
        <v>45292</v>
      </c>
      <c r="Y5" s="358">
        <v>45473</v>
      </c>
      <c r="Z5" s="125"/>
      <c r="AA5" s="798"/>
      <c r="AB5" s="303" t="s">
        <v>256</v>
      </c>
      <c r="AC5" s="303" t="s">
        <v>256</v>
      </c>
      <c r="AD5" s="393" t="s">
        <v>260</v>
      </c>
      <c r="AE5" s="303" t="s">
        <v>260</v>
      </c>
      <c r="AF5" s="303" t="s">
        <v>290</v>
      </c>
      <c r="AG5" s="303" t="s">
        <v>262</v>
      </c>
      <c r="AH5" s="303" t="s">
        <v>256</v>
      </c>
      <c r="AI5" s="304" t="s">
        <v>256</v>
      </c>
    </row>
    <row r="6" spans="2:35" s="3" customFormat="1" ht="14" x14ac:dyDescent="0.3">
      <c r="B6" s="14" t="s">
        <v>7</v>
      </c>
      <c r="C6" s="35" t="s">
        <v>8</v>
      </c>
      <c r="D6" s="268"/>
      <c r="E6" s="261">
        <v>38</v>
      </c>
      <c r="F6" s="67">
        <v>15</v>
      </c>
      <c r="G6" s="157">
        <v>49</v>
      </c>
      <c r="I6" s="262">
        <f>(G6-E6)</f>
        <v>11</v>
      </c>
      <c r="J6" s="178">
        <f>(G6/E6)</f>
        <v>1.2894736842105263</v>
      </c>
      <c r="K6" s="697">
        <f>J6-J86</f>
        <v>0.16373900746829295</v>
      </c>
      <c r="N6" s="14" t="s">
        <v>7</v>
      </c>
      <c r="O6" s="35" t="s">
        <v>8</v>
      </c>
      <c r="Q6" s="191">
        <f>(G6-F6)</f>
        <v>34</v>
      </c>
      <c r="R6" s="264">
        <f>G6/F6</f>
        <v>3.2666666666666666</v>
      </c>
      <c r="S6" s="685">
        <f>R6-R86</f>
        <v>0.93543432587118724</v>
      </c>
      <c r="U6" s="203">
        <v>38</v>
      </c>
      <c r="V6" s="294">
        <v>41</v>
      </c>
      <c r="W6" s="359">
        <v>47</v>
      </c>
      <c r="X6" s="294">
        <v>47</v>
      </c>
      <c r="Y6" s="202">
        <v>49</v>
      </c>
      <c r="Z6" s="31"/>
      <c r="AA6" s="130" t="s">
        <v>8</v>
      </c>
      <c r="AB6" s="220">
        <f>V6-U6</f>
        <v>3</v>
      </c>
      <c r="AC6" s="726">
        <f>V6/U6</f>
        <v>1.0789473684210527</v>
      </c>
      <c r="AD6" s="394">
        <f>(W6-V6)</f>
        <v>6</v>
      </c>
      <c r="AE6" s="730">
        <f>W6/V6</f>
        <v>1.1463414634146341</v>
      </c>
      <c r="AF6" s="306">
        <f>X6-W6</f>
        <v>0</v>
      </c>
      <c r="AG6" s="306">
        <f>Y6-X6</f>
        <v>2</v>
      </c>
      <c r="AH6" s="302">
        <f>Y6-U6</f>
        <v>11</v>
      </c>
      <c r="AI6" s="676">
        <f>Y6/U6</f>
        <v>1.2894736842105263</v>
      </c>
    </row>
    <row r="7" spans="2:35" s="3" customFormat="1" ht="14" x14ac:dyDescent="0.3">
      <c r="B7" s="10" t="s">
        <v>7</v>
      </c>
      <c r="C7" s="36" t="s">
        <v>9</v>
      </c>
      <c r="D7" s="268"/>
      <c r="E7" s="261">
        <v>34</v>
      </c>
      <c r="F7" s="41">
        <v>14</v>
      </c>
      <c r="G7" s="162">
        <v>43</v>
      </c>
      <c r="I7" s="262">
        <f t="shared" ref="I7:I70" si="0">(G7-E7)</f>
        <v>9</v>
      </c>
      <c r="J7" s="178">
        <f t="shared" ref="J7:J70" si="1">(G7/E7)</f>
        <v>1.2647058823529411</v>
      </c>
      <c r="K7" s="698">
        <f>J7-J86</f>
        <v>0.13897120561070775</v>
      </c>
      <c r="N7" s="10" t="s">
        <v>7</v>
      </c>
      <c r="O7" s="36" t="s">
        <v>9</v>
      </c>
      <c r="Q7" s="191">
        <f t="shared" ref="Q7:Q70" si="2">(G7-F7)</f>
        <v>29</v>
      </c>
      <c r="R7" s="264">
        <f t="shared" ref="R7:R70" si="3">G7/F7</f>
        <v>3.0714285714285716</v>
      </c>
      <c r="S7" s="685">
        <f>R7-R86</f>
        <v>0.74019623063309226</v>
      </c>
      <c r="U7" s="203">
        <v>34</v>
      </c>
      <c r="V7" s="294">
        <v>44</v>
      </c>
      <c r="W7" s="359">
        <v>42</v>
      </c>
      <c r="X7" s="294">
        <v>41</v>
      </c>
      <c r="Y7" s="202">
        <v>39</v>
      </c>
      <c r="Z7" s="31"/>
      <c r="AA7" s="131" t="s">
        <v>9</v>
      </c>
      <c r="AB7" s="220">
        <f t="shared" ref="AB7:AB70" si="4">V7-U7</f>
        <v>10</v>
      </c>
      <c r="AC7" s="732">
        <f t="shared" ref="AC7:AC70" si="5">V7/U7</f>
        <v>1.2941176470588236</v>
      </c>
      <c r="AD7" s="394">
        <f t="shared" ref="AD7:AD70" si="6">(W7-V7)</f>
        <v>-2</v>
      </c>
      <c r="AE7" s="733">
        <f t="shared" ref="AE7:AE70" si="7">W7/V7</f>
        <v>0.95454545454545459</v>
      </c>
      <c r="AF7" s="306">
        <f t="shared" ref="AF7:AF70" si="8">X7-W7</f>
        <v>-1</v>
      </c>
      <c r="AG7" s="306">
        <f t="shared" ref="AG7:AG70" si="9">Y7-X7</f>
        <v>-2</v>
      </c>
      <c r="AH7" s="302">
        <f t="shared" ref="AH7:AH70" si="10">Y7-U7</f>
        <v>5</v>
      </c>
      <c r="AI7" s="675">
        <f t="shared" ref="AI7:AI70" si="11">Y7/U7</f>
        <v>1.1470588235294117</v>
      </c>
    </row>
    <row r="8" spans="2:35" s="3" customFormat="1" ht="14" x14ac:dyDescent="0.3">
      <c r="B8" s="10" t="s">
        <v>7</v>
      </c>
      <c r="C8" s="36" t="s">
        <v>10</v>
      </c>
      <c r="D8" s="268"/>
      <c r="E8" s="261">
        <v>33</v>
      </c>
      <c r="F8" s="41">
        <v>16</v>
      </c>
      <c r="G8" s="162">
        <v>41</v>
      </c>
      <c r="I8" s="262">
        <f t="shared" si="0"/>
        <v>8</v>
      </c>
      <c r="J8" s="178">
        <f t="shared" si="1"/>
        <v>1.2424242424242424</v>
      </c>
      <c r="K8" s="698">
        <f>J8-J86</f>
        <v>0.11668956568200906</v>
      </c>
      <c r="N8" s="10" t="s">
        <v>7</v>
      </c>
      <c r="O8" s="36" t="s">
        <v>10</v>
      </c>
      <c r="Q8" s="191">
        <f t="shared" si="2"/>
        <v>25</v>
      </c>
      <c r="R8" s="264">
        <f t="shared" si="3"/>
        <v>2.5625</v>
      </c>
      <c r="S8" s="689">
        <f>R8-R86</f>
        <v>0.23126765920452064</v>
      </c>
      <c r="U8" s="203">
        <v>33</v>
      </c>
      <c r="V8" s="294">
        <v>33</v>
      </c>
      <c r="W8" s="359">
        <v>36</v>
      </c>
      <c r="X8" s="294">
        <v>39</v>
      </c>
      <c r="Y8" s="202">
        <v>38</v>
      </c>
      <c r="Z8" s="31"/>
      <c r="AA8" s="131" t="s">
        <v>10</v>
      </c>
      <c r="AB8" s="220">
        <f t="shared" si="4"/>
        <v>0</v>
      </c>
      <c r="AC8" s="726">
        <f t="shared" si="5"/>
        <v>1</v>
      </c>
      <c r="AD8" s="394">
        <f t="shared" si="6"/>
        <v>3</v>
      </c>
      <c r="AE8" s="726">
        <f t="shared" si="7"/>
        <v>1.0909090909090908</v>
      </c>
      <c r="AF8" s="306">
        <f t="shared" si="8"/>
        <v>3</v>
      </c>
      <c r="AG8" s="306">
        <f t="shared" si="9"/>
        <v>-1</v>
      </c>
      <c r="AH8" s="302">
        <f t="shared" si="10"/>
        <v>5</v>
      </c>
      <c r="AI8" s="675">
        <f t="shared" si="11"/>
        <v>1.1515151515151516</v>
      </c>
    </row>
    <row r="9" spans="2:35" s="3" customFormat="1" ht="14" x14ac:dyDescent="0.3">
      <c r="B9" s="10" t="s">
        <v>7</v>
      </c>
      <c r="C9" s="36" t="s">
        <v>11</v>
      </c>
      <c r="D9" s="268"/>
      <c r="E9" s="261">
        <v>31</v>
      </c>
      <c r="F9" s="41">
        <v>15</v>
      </c>
      <c r="G9" s="162">
        <v>57</v>
      </c>
      <c r="I9" s="262">
        <f t="shared" si="0"/>
        <v>26</v>
      </c>
      <c r="J9" s="178">
        <f t="shared" si="1"/>
        <v>1.8387096774193548</v>
      </c>
      <c r="K9" s="695">
        <f>J9-J86</f>
        <v>0.71297500067712138</v>
      </c>
      <c r="N9" s="10" t="s">
        <v>7</v>
      </c>
      <c r="O9" s="36" t="s">
        <v>11</v>
      </c>
      <c r="Q9" s="191">
        <f t="shared" si="2"/>
        <v>42</v>
      </c>
      <c r="R9" s="264">
        <f t="shared" si="3"/>
        <v>3.8</v>
      </c>
      <c r="S9" s="685">
        <f>R9-R86</f>
        <v>1.4687676592045205</v>
      </c>
      <c r="U9" s="203">
        <v>31</v>
      </c>
      <c r="V9" s="294">
        <v>44</v>
      </c>
      <c r="W9" s="359">
        <v>49</v>
      </c>
      <c r="X9" s="294">
        <v>57</v>
      </c>
      <c r="Y9" s="202">
        <v>51</v>
      </c>
      <c r="Z9" s="31"/>
      <c r="AA9" s="131" t="s">
        <v>11</v>
      </c>
      <c r="AB9" s="220">
        <f t="shared" si="4"/>
        <v>13</v>
      </c>
      <c r="AC9" s="727">
        <f t="shared" si="5"/>
        <v>1.4193548387096775</v>
      </c>
      <c r="AD9" s="394">
        <f t="shared" si="6"/>
        <v>5</v>
      </c>
      <c r="AE9" s="730">
        <f t="shared" si="7"/>
        <v>1.1136363636363635</v>
      </c>
      <c r="AF9" s="306">
        <f t="shared" si="8"/>
        <v>8</v>
      </c>
      <c r="AG9" s="306">
        <f t="shared" si="9"/>
        <v>-6</v>
      </c>
      <c r="AH9" s="302">
        <f t="shared" si="10"/>
        <v>20</v>
      </c>
      <c r="AI9" s="670">
        <f t="shared" si="11"/>
        <v>1.6451612903225807</v>
      </c>
    </row>
    <row r="10" spans="2:35" s="3" customFormat="1" ht="14" x14ac:dyDescent="0.3">
      <c r="B10" s="10" t="s">
        <v>7</v>
      </c>
      <c r="C10" s="36" t="s">
        <v>12</v>
      </c>
      <c r="D10" s="268"/>
      <c r="E10" s="261">
        <v>19</v>
      </c>
      <c r="F10" s="41">
        <v>5</v>
      </c>
      <c r="G10" s="162">
        <v>16</v>
      </c>
      <c r="I10" s="262">
        <f t="shared" si="0"/>
        <v>-3</v>
      </c>
      <c r="J10" s="178">
        <f t="shared" si="1"/>
        <v>0.84210526315789469</v>
      </c>
      <c r="K10" s="702">
        <f>J10-J86</f>
        <v>-0.28362941358433869</v>
      </c>
      <c r="N10" s="10" t="s">
        <v>7</v>
      </c>
      <c r="O10" s="36" t="s">
        <v>12</v>
      </c>
      <c r="Q10" s="191">
        <f t="shared" si="2"/>
        <v>11</v>
      </c>
      <c r="R10" s="264">
        <f t="shared" si="3"/>
        <v>3.2</v>
      </c>
      <c r="S10" s="685">
        <f>R10-R86</f>
        <v>0.86876765920452081</v>
      </c>
      <c r="U10" s="203">
        <v>19</v>
      </c>
      <c r="V10" s="294">
        <v>16</v>
      </c>
      <c r="W10" s="359">
        <v>18</v>
      </c>
      <c r="X10" s="294">
        <v>16</v>
      </c>
      <c r="Y10" s="202">
        <v>16</v>
      </c>
      <c r="Z10" s="31"/>
      <c r="AA10" s="131" t="s">
        <v>12</v>
      </c>
      <c r="AB10" s="220">
        <f t="shared" si="4"/>
        <v>-3</v>
      </c>
      <c r="AC10" s="737">
        <f t="shared" si="5"/>
        <v>0.84210526315789469</v>
      </c>
      <c r="AD10" s="394">
        <f t="shared" si="6"/>
        <v>2</v>
      </c>
      <c r="AE10" s="730">
        <f t="shared" si="7"/>
        <v>1.125</v>
      </c>
      <c r="AF10" s="306">
        <f t="shared" si="8"/>
        <v>-2</v>
      </c>
      <c r="AG10" s="306">
        <f t="shared" si="9"/>
        <v>0</v>
      </c>
      <c r="AH10" s="302">
        <f t="shared" si="10"/>
        <v>-3</v>
      </c>
      <c r="AI10" s="680">
        <f t="shared" si="11"/>
        <v>0.84210526315789469</v>
      </c>
    </row>
    <row r="11" spans="2:35" s="3" customFormat="1" ht="14" x14ac:dyDescent="0.3">
      <c r="B11" s="10" t="s">
        <v>7</v>
      </c>
      <c r="C11" s="36" t="s">
        <v>13</v>
      </c>
      <c r="D11" s="268"/>
      <c r="E11" s="261">
        <v>52</v>
      </c>
      <c r="F11" s="3">
        <v>24</v>
      </c>
      <c r="G11" s="162">
        <v>60</v>
      </c>
      <c r="I11" s="262">
        <f t="shared" si="0"/>
        <v>8</v>
      </c>
      <c r="J11" s="178">
        <f t="shared" si="1"/>
        <v>1.1538461538461537</v>
      </c>
      <c r="K11" s="696">
        <f>J11-J86</f>
        <v>2.8111477103920368E-2</v>
      </c>
      <c r="N11" s="10" t="s">
        <v>7</v>
      </c>
      <c r="O11" s="36" t="s">
        <v>13</v>
      </c>
      <c r="Q11" s="191">
        <f t="shared" si="2"/>
        <v>36</v>
      </c>
      <c r="R11" s="264">
        <f t="shared" si="3"/>
        <v>2.5</v>
      </c>
      <c r="S11" s="688">
        <f>R11-R86</f>
        <v>0.16876765920452064</v>
      </c>
      <c r="U11" s="203">
        <v>52</v>
      </c>
      <c r="V11" s="294">
        <v>55</v>
      </c>
      <c r="W11" s="359">
        <v>59</v>
      </c>
      <c r="X11" s="294">
        <v>57</v>
      </c>
      <c r="Y11" s="202">
        <v>62</v>
      </c>
      <c r="Z11" s="31"/>
      <c r="AA11" s="131" t="s">
        <v>13</v>
      </c>
      <c r="AB11" s="220">
        <f t="shared" si="4"/>
        <v>3</v>
      </c>
      <c r="AC11" s="726">
        <f t="shared" si="5"/>
        <v>1.0576923076923077</v>
      </c>
      <c r="AD11" s="394">
        <f t="shared" si="6"/>
        <v>4</v>
      </c>
      <c r="AE11" s="726">
        <f t="shared" si="7"/>
        <v>1.0727272727272728</v>
      </c>
      <c r="AF11" s="306">
        <f t="shared" si="8"/>
        <v>-2</v>
      </c>
      <c r="AG11" s="306">
        <f t="shared" si="9"/>
        <v>5</v>
      </c>
      <c r="AH11" s="302">
        <f t="shared" si="10"/>
        <v>10</v>
      </c>
      <c r="AI11" s="675">
        <f t="shared" si="11"/>
        <v>1.1923076923076923</v>
      </c>
    </row>
    <row r="12" spans="2:35" s="3" customFormat="1" ht="14" x14ac:dyDescent="0.3">
      <c r="B12" s="10" t="s">
        <v>7</v>
      </c>
      <c r="C12" s="36" t="s">
        <v>14</v>
      </c>
      <c r="D12" s="268"/>
      <c r="E12" s="261">
        <v>58</v>
      </c>
      <c r="F12" s="41">
        <v>28</v>
      </c>
      <c r="G12" s="162">
        <v>57</v>
      </c>
      <c r="I12" s="262">
        <f t="shared" si="0"/>
        <v>-1</v>
      </c>
      <c r="J12" s="178">
        <f t="shared" si="1"/>
        <v>0.98275862068965514</v>
      </c>
      <c r="K12" s="701">
        <f>J12-J86</f>
        <v>-0.14297605605257824</v>
      </c>
      <c r="N12" s="10" t="s">
        <v>7</v>
      </c>
      <c r="O12" s="36" t="s">
        <v>14</v>
      </c>
      <c r="Q12" s="191">
        <f t="shared" si="2"/>
        <v>29</v>
      </c>
      <c r="R12" s="264">
        <f t="shared" si="3"/>
        <v>2.0357142857142856</v>
      </c>
      <c r="S12" s="692">
        <f>R12-R86</f>
        <v>-0.29551805508119378</v>
      </c>
      <c r="U12" s="203">
        <v>58</v>
      </c>
      <c r="V12" s="294">
        <v>54</v>
      </c>
      <c r="W12" s="359">
        <v>64</v>
      </c>
      <c r="X12" s="294">
        <v>59</v>
      </c>
      <c r="Y12" s="202">
        <v>58</v>
      </c>
      <c r="Z12" s="31"/>
      <c r="AA12" s="131" t="s">
        <v>14</v>
      </c>
      <c r="AB12" s="220">
        <f t="shared" si="4"/>
        <v>-4</v>
      </c>
      <c r="AC12" s="733">
        <f t="shared" si="5"/>
        <v>0.93103448275862066</v>
      </c>
      <c r="AD12" s="394">
        <f t="shared" si="6"/>
        <v>10</v>
      </c>
      <c r="AE12" s="730">
        <f t="shared" si="7"/>
        <v>1.1851851851851851</v>
      </c>
      <c r="AF12" s="306">
        <f t="shared" si="8"/>
        <v>-5</v>
      </c>
      <c r="AG12" s="306">
        <f t="shared" si="9"/>
        <v>-1</v>
      </c>
      <c r="AH12" s="302">
        <f t="shared" si="10"/>
        <v>0</v>
      </c>
      <c r="AI12" s="672">
        <f t="shared" si="11"/>
        <v>1</v>
      </c>
    </row>
    <row r="13" spans="2:35" s="3" customFormat="1" ht="14" x14ac:dyDescent="0.3">
      <c r="B13" s="10" t="s">
        <v>7</v>
      </c>
      <c r="C13" s="36" t="s">
        <v>15</v>
      </c>
      <c r="D13" s="268"/>
      <c r="E13" s="261">
        <v>21</v>
      </c>
      <c r="F13" s="41">
        <v>14</v>
      </c>
      <c r="G13" s="162">
        <v>25</v>
      </c>
      <c r="I13" s="262">
        <f t="shared" si="0"/>
        <v>4</v>
      </c>
      <c r="J13" s="178">
        <f t="shared" si="1"/>
        <v>1.1904761904761905</v>
      </c>
      <c r="K13" s="696">
        <f>J13-J86</f>
        <v>6.474151373395709E-2</v>
      </c>
      <c r="N13" s="10" t="s">
        <v>7</v>
      </c>
      <c r="O13" s="36" t="s">
        <v>15</v>
      </c>
      <c r="Q13" s="191">
        <f t="shared" si="2"/>
        <v>11</v>
      </c>
      <c r="R13" s="264">
        <f t="shared" si="3"/>
        <v>1.7857142857142858</v>
      </c>
      <c r="S13" s="693">
        <f>R13-R86</f>
        <v>-0.54551805508119355</v>
      </c>
      <c r="U13" s="203">
        <v>21</v>
      </c>
      <c r="V13" s="294">
        <v>24</v>
      </c>
      <c r="W13" s="359">
        <v>21</v>
      </c>
      <c r="X13" s="294">
        <v>26</v>
      </c>
      <c r="Y13" s="202">
        <v>24</v>
      </c>
      <c r="Z13" s="31"/>
      <c r="AA13" s="131" t="s">
        <v>15</v>
      </c>
      <c r="AB13" s="220">
        <f t="shared" si="4"/>
        <v>3</v>
      </c>
      <c r="AC13" s="730">
        <f t="shared" si="5"/>
        <v>1.1428571428571428</v>
      </c>
      <c r="AD13" s="394">
        <f t="shared" si="6"/>
        <v>-3</v>
      </c>
      <c r="AE13" s="737">
        <f t="shared" si="7"/>
        <v>0.875</v>
      </c>
      <c r="AF13" s="306">
        <f t="shared" si="8"/>
        <v>5</v>
      </c>
      <c r="AG13" s="306">
        <f t="shared" si="9"/>
        <v>-2</v>
      </c>
      <c r="AH13" s="302">
        <f t="shared" si="10"/>
        <v>3</v>
      </c>
      <c r="AI13" s="675">
        <f t="shared" si="11"/>
        <v>1.1428571428571428</v>
      </c>
    </row>
    <row r="14" spans="2:35" s="3" customFormat="1" ht="14" x14ac:dyDescent="0.3">
      <c r="B14" s="10" t="s">
        <v>7</v>
      </c>
      <c r="C14" s="36" t="s">
        <v>16</v>
      </c>
      <c r="D14" s="268"/>
      <c r="E14" s="261">
        <v>60</v>
      </c>
      <c r="F14" s="270">
        <v>34</v>
      </c>
      <c r="G14" s="162">
        <v>101</v>
      </c>
      <c r="I14" s="262">
        <f t="shared" si="0"/>
        <v>41</v>
      </c>
      <c r="J14" s="178">
        <f t="shared" si="1"/>
        <v>1.6833333333333333</v>
      </c>
      <c r="K14" s="695">
        <f>J14-J86</f>
        <v>0.55759865659109997</v>
      </c>
      <c r="N14" s="10" t="s">
        <v>7</v>
      </c>
      <c r="O14" s="36" t="s">
        <v>16</v>
      </c>
      <c r="Q14" s="191">
        <f t="shared" si="2"/>
        <v>67</v>
      </c>
      <c r="R14" s="264">
        <f t="shared" si="3"/>
        <v>2.9705882352941178</v>
      </c>
      <c r="S14" s="685">
        <f>R14-R86</f>
        <v>0.63935589449863839</v>
      </c>
      <c r="U14" s="203">
        <v>60</v>
      </c>
      <c r="V14" s="294">
        <v>94</v>
      </c>
      <c r="W14" s="360">
        <v>98</v>
      </c>
      <c r="X14" s="294">
        <v>100</v>
      </c>
      <c r="Y14" s="202">
        <v>99</v>
      </c>
      <c r="Z14" s="31"/>
      <c r="AA14" s="131" t="s">
        <v>16</v>
      </c>
      <c r="AB14" s="220">
        <f t="shared" si="4"/>
        <v>34</v>
      </c>
      <c r="AC14" s="727">
        <f t="shared" si="5"/>
        <v>1.5666666666666667</v>
      </c>
      <c r="AD14" s="394">
        <f t="shared" si="6"/>
        <v>4</v>
      </c>
      <c r="AE14" s="726">
        <f t="shared" si="7"/>
        <v>1.0425531914893618</v>
      </c>
      <c r="AF14" s="306">
        <f t="shared" si="8"/>
        <v>2</v>
      </c>
      <c r="AG14" s="306">
        <f t="shared" si="9"/>
        <v>-1</v>
      </c>
      <c r="AH14" s="302">
        <f t="shared" si="10"/>
        <v>39</v>
      </c>
      <c r="AI14" s="670">
        <f t="shared" si="11"/>
        <v>1.65</v>
      </c>
    </row>
    <row r="15" spans="2:35" s="3" customFormat="1" ht="14" x14ac:dyDescent="0.3">
      <c r="B15" s="10" t="s">
        <v>7</v>
      </c>
      <c r="C15" s="36" t="s">
        <v>17</v>
      </c>
      <c r="D15" s="268"/>
      <c r="E15" s="261">
        <v>56</v>
      </c>
      <c r="F15" s="41">
        <v>23</v>
      </c>
      <c r="G15" s="162">
        <v>57</v>
      </c>
      <c r="I15" s="262">
        <f t="shared" si="0"/>
        <v>1</v>
      </c>
      <c r="J15" s="178">
        <f t="shared" si="1"/>
        <v>1.0178571428571428</v>
      </c>
      <c r="K15" s="701">
        <f>J15-J86</f>
        <v>-0.10787753388509058</v>
      </c>
      <c r="N15" s="10" t="s">
        <v>7</v>
      </c>
      <c r="O15" s="36" t="s">
        <v>17</v>
      </c>
      <c r="Q15" s="191">
        <f t="shared" si="2"/>
        <v>34</v>
      </c>
      <c r="R15" s="264">
        <f t="shared" si="3"/>
        <v>2.4782608695652173</v>
      </c>
      <c r="S15" s="688">
        <f>R15-R86</f>
        <v>0.14702852876973793</v>
      </c>
      <c r="U15" s="203">
        <v>56</v>
      </c>
      <c r="V15" s="294">
        <v>60</v>
      </c>
      <c r="W15" s="359">
        <v>61</v>
      </c>
      <c r="X15" s="294">
        <v>59</v>
      </c>
      <c r="Y15" s="202">
        <v>59</v>
      </c>
      <c r="Z15" s="31"/>
      <c r="AA15" s="131" t="s">
        <v>17</v>
      </c>
      <c r="AB15" s="220">
        <f t="shared" si="4"/>
        <v>4</v>
      </c>
      <c r="AC15" s="726">
        <f t="shared" si="5"/>
        <v>1.0714285714285714</v>
      </c>
      <c r="AD15" s="394">
        <f t="shared" si="6"/>
        <v>1</v>
      </c>
      <c r="AE15" s="726">
        <f t="shared" si="7"/>
        <v>1.0166666666666666</v>
      </c>
      <c r="AF15" s="306">
        <f t="shared" si="8"/>
        <v>-2</v>
      </c>
      <c r="AG15" s="306">
        <f t="shared" si="9"/>
        <v>0</v>
      </c>
      <c r="AH15" s="302">
        <f t="shared" si="10"/>
        <v>3</v>
      </c>
      <c r="AI15" s="672">
        <f t="shared" si="11"/>
        <v>1.0535714285714286</v>
      </c>
    </row>
    <row r="16" spans="2:35" s="3" customFormat="1" ht="14" x14ac:dyDescent="0.3">
      <c r="B16" s="10" t="s">
        <v>7</v>
      </c>
      <c r="C16" s="36" t="s">
        <v>18</v>
      </c>
      <c r="D16" s="268"/>
      <c r="E16" s="261">
        <v>24</v>
      </c>
      <c r="F16" s="41">
        <v>1</v>
      </c>
      <c r="G16" s="162">
        <v>25</v>
      </c>
      <c r="I16" s="262">
        <f t="shared" si="0"/>
        <v>1</v>
      </c>
      <c r="J16" s="178">
        <f t="shared" si="1"/>
        <v>1.0416666666666667</v>
      </c>
      <c r="K16" s="700">
        <f>J16-J86</f>
        <v>-8.4068010075566635E-2</v>
      </c>
      <c r="N16" s="10" t="s">
        <v>7</v>
      </c>
      <c r="O16" s="36" t="s">
        <v>18</v>
      </c>
      <c r="Q16" s="191">
        <f t="shared" si="2"/>
        <v>24</v>
      </c>
      <c r="R16" s="264">
        <f t="shared" si="3"/>
        <v>25</v>
      </c>
      <c r="S16" s="685">
        <f>R16-R86</f>
        <v>22.668767659204519</v>
      </c>
      <c r="U16" s="203">
        <v>24</v>
      </c>
      <c r="V16" s="294">
        <v>22</v>
      </c>
      <c r="W16" s="359">
        <v>26</v>
      </c>
      <c r="X16" s="294">
        <v>25</v>
      </c>
      <c r="Y16" s="202">
        <v>28</v>
      </c>
      <c r="Z16" s="31"/>
      <c r="AA16" s="131" t="s">
        <v>18</v>
      </c>
      <c r="AB16" s="220">
        <f t="shared" si="4"/>
        <v>-2</v>
      </c>
      <c r="AC16" s="733">
        <f t="shared" si="5"/>
        <v>0.91666666666666663</v>
      </c>
      <c r="AD16" s="394">
        <f t="shared" si="6"/>
        <v>4</v>
      </c>
      <c r="AE16" s="730">
        <f t="shared" si="7"/>
        <v>1.1818181818181819</v>
      </c>
      <c r="AF16" s="306">
        <f t="shared" si="8"/>
        <v>-1</v>
      </c>
      <c r="AG16" s="306">
        <f t="shared" si="9"/>
        <v>3</v>
      </c>
      <c r="AH16" s="302">
        <f t="shared" si="10"/>
        <v>4</v>
      </c>
      <c r="AI16" s="675">
        <f t="shared" si="11"/>
        <v>1.1666666666666667</v>
      </c>
    </row>
    <row r="17" spans="2:35" s="3" customFormat="1" ht="14" x14ac:dyDescent="0.3">
      <c r="B17" s="10" t="s">
        <v>7</v>
      </c>
      <c r="C17" s="36" t="s">
        <v>19</v>
      </c>
      <c r="D17" s="268"/>
      <c r="E17" s="261">
        <v>38</v>
      </c>
      <c r="F17" s="41">
        <v>14</v>
      </c>
      <c r="G17" s="162">
        <v>44</v>
      </c>
      <c r="I17" s="262">
        <f t="shared" si="0"/>
        <v>6</v>
      </c>
      <c r="J17" s="178">
        <f t="shared" si="1"/>
        <v>1.1578947368421053</v>
      </c>
      <c r="K17" s="696">
        <f>J17-J86</f>
        <v>3.2160060099871934E-2</v>
      </c>
      <c r="N17" s="10" t="s">
        <v>7</v>
      </c>
      <c r="O17" s="36" t="s">
        <v>19</v>
      </c>
      <c r="Q17" s="191">
        <f t="shared" si="2"/>
        <v>30</v>
      </c>
      <c r="R17" s="264">
        <f t="shared" si="3"/>
        <v>3.1428571428571428</v>
      </c>
      <c r="S17" s="685">
        <f>R86</f>
        <v>2.3312323407954794</v>
      </c>
      <c r="U17" s="203">
        <v>38</v>
      </c>
      <c r="V17" s="294">
        <v>41</v>
      </c>
      <c r="W17" s="359">
        <v>46</v>
      </c>
      <c r="X17" s="294">
        <v>45</v>
      </c>
      <c r="Y17" s="202">
        <v>50</v>
      </c>
      <c r="Z17" s="31"/>
      <c r="AA17" s="131" t="s">
        <v>19</v>
      </c>
      <c r="AB17" s="220">
        <f t="shared" si="4"/>
        <v>3</v>
      </c>
      <c r="AC17" s="726">
        <f t="shared" si="5"/>
        <v>1.0789473684210527</v>
      </c>
      <c r="AD17" s="394">
        <f t="shared" si="6"/>
        <v>5</v>
      </c>
      <c r="AE17" s="730">
        <f t="shared" si="7"/>
        <v>1.1219512195121952</v>
      </c>
      <c r="AF17" s="306">
        <f t="shared" si="8"/>
        <v>-1</v>
      </c>
      <c r="AG17" s="306">
        <f t="shared" si="9"/>
        <v>5</v>
      </c>
      <c r="AH17" s="302">
        <f t="shared" si="10"/>
        <v>12</v>
      </c>
      <c r="AI17" s="670">
        <f t="shared" si="11"/>
        <v>1.3157894736842106</v>
      </c>
    </row>
    <row r="18" spans="2:35" s="3" customFormat="1" ht="14" x14ac:dyDescent="0.3">
      <c r="B18" s="10" t="s">
        <v>7</v>
      </c>
      <c r="C18" s="36" t="s">
        <v>20</v>
      </c>
      <c r="D18" s="268"/>
      <c r="E18" s="261">
        <v>34</v>
      </c>
      <c r="F18" s="41">
        <v>4</v>
      </c>
      <c r="G18" s="162">
        <v>45</v>
      </c>
      <c r="I18" s="262">
        <f t="shared" si="0"/>
        <v>11</v>
      </c>
      <c r="J18" s="178">
        <f t="shared" si="1"/>
        <v>1.3235294117647058</v>
      </c>
      <c r="K18" s="699">
        <f>J18-J86</f>
        <v>0.19779473502247247</v>
      </c>
      <c r="N18" s="10" t="s">
        <v>7</v>
      </c>
      <c r="O18" s="36" t="s">
        <v>20</v>
      </c>
      <c r="Q18" s="191">
        <f t="shared" si="2"/>
        <v>41</v>
      </c>
      <c r="R18" s="264">
        <f t="shared" si="3"/>
        <v>11.25</v>
      </c>
      <c r="S18" s="685">
        <f>R18-R86</f>
        <v>8.9187676592045211</v>
      </c>
      <c r="U18" s="203">
        <v>34</v>
      </c>
      <c r="V18" s="294">
        <v>42</v>
      </c>
      <c r="W18" s="359">
        <v>44</v>
      </c>
      <c r="X18" s="294">
        <v>47</v>
      </c>
      <c r="Y18" s="202">
        <v>48</v>
      </c>
      <c r="Z18" s="31"/>
      <c r="AA18" s="131" t="s">
        <v>20</v>
      </c>
      <c r="AB18" s="220">
        <f t="shared" si="4"/>
        <v>8</v>
      </c>
      <c r="AC18" s="732">
        <f t="shared" si="5"/>
        <v>1.2352941176470589</v>
      </c>
      <c r="AD18" s="394">
        <f t="shared" si="6"/>
        <v>2</v>
      </c>
      <c r="AE18" s="726">
        <f t="shared" si="7"/>
        <v>1.0476190476190477</v>
      </c>
      <c r="AF18" s="306">
        <f t="shared" si="8"/>
        <v>3</v>
      </c>
      <c r="AG18" s="306">
        <f t="shared" si="9"/>
        <v>1</v>
      </c>
      <c r="AH18" s="302">
        <f t="shared" si="10"/>
        <v>14</v>
      </c>
      <c r="AI18" s="670">
        <f t="shared" si="11"/>
        <v>1.411764705882353</v>
      </c>
    </row>
    <row r="19" spans="2:35" s="3" customFormat="1" ht="14" x14ac:dyDescent="0.3">
      <c r="B19" s="10" t="s">
        <v>7</v>
      </c>
      <c r="C19" s="36" t="s">
        <v>21</v>
      </c>
      <c r="D19" s="268"/>
      <c r="E19" s="261">
        <v>88</v>
      </c>
      <c r="F19" s="41">
        <v>59</v>
      </c>
      <c r="G19" s="162">
        <v>124</v>
      </c>
      <c r="I19" s="262">
        <f t="shared" si="0"/>
        <v>36</v>
      </c>
      <c r="J19" s="178">
        <f t="shared" si="1"/>
        <v>1.4090909090909092</v>
      </c>
      <c r="K19" s="699">
        <f>J19-J86</f>
        <v>0.2833562323486758</v>
      </c>
      <c r="N19" s="10" t="s">
        <v>7</v>
      </c>
      <c r="O19" s="36" t="s">
        <v>21</v>
      </c>
      <c r="Q19" s="191">
        <f t="shared" si="2"/>
        <v>65</v>
      </c>
      <c r="R19" s="264">
        <f t="shared" si="3"/>
        <v>2.1016949152542375</v>
      </c>
      <c r="S19" s="692">
        <f>R19-R86</f>
        <v>-0.2295374255412419</v>
      </c>
      <c r="U19" s="203">
        <v>88</v>
      </c>
      <c r="V19" s="294">
        <v>122</v>
      </c>
      <c r="W19" s="359">
        <v>114</v>
      </c>
      <c r="X19" s="294">
        <v>112</v>
      </c>
      <c r="Y19" s="202">
        <v>124</v>
      </c>
      <c r="Z19" s="31"/>
      <c r="AA19" s="131" t="s">
        <v>21</v>
      </c>
      <c r="AB19" s="220">
        <f t="shared" si="4"/>
        <v>34</v>
      </c>
      <c r="AC19" s="727">
        <f t="shared" si="5"/>
        <v>1.3863636363636365</v>
      </c>
      <c r="AD19" s="394">
        <f t="shared" si="6"/>
        <v>-8</v>
      </c>
      <c r="AE19" s="733">
        <f t="shared" si="7"/>
        <v>0.93442622950819676</v>
      </c>
      <c r="AF19" s="306">
        <f t="shared" si="8"/>
        <v>-2</v>
      </c>
      <c r="AG19" s="306">
        <f t="shared" si="9"/>
        <v>12</v>
      </c>
      <c r="AH19" s="302">
        <f t="shared" si="10"/>
        <v>36</v>
      </c>
      <c r="AI19" s="670">
        <f t="shared" si="11"/>
        <v>1.4090909090909092</v>
      </c>
    </row>
    <row r="20" spans="2:35" s="3" customFormat="1" ht="14" x14ac:dyDescent="0.3">
      <c r="B20" s="10" t="s">
        <v>7</v>
      </c>
      <c r="C20" s="36" t="s">
        <v>22</v>
      </c>
      <c r="D20" s="268"/>
      <c r="E20" s="261">
        <v>1825</v>
      </c>
      <c r="F20" s="41">
        <v>780</v>
      </c>
      <c r="G20" s="162">
        <v>2357</v>
      </c>
      <c r="I20" s="262">
        <f t="shared" si="0"/>
        <v>532</v>
      </c>
      <c r="J20" s="178">
        <f t="shared" si="1"/>
        <v>1.2915068493150685</v>
      </c>
      <c r="K20" s="698">
        <f>J20-J86</f>
        <v>0.16577217257283516</v>
      </c>
      <c r="N20" s="10" t="s">
        <v>7</v>
      </c>
      <c r="O20" s="36" t="s">
        <v>22</v>
      </c>
      <c r="Q20" s="191">
        <f t="shared" si="2"/>
        <v>1577</v>
      </c>
      <c r="R20" s="264">
        <f t="shared" si="3"/>
        <v>3.0217948717948717</v>
      </c>
      <c r="S20" s="685">
        <f>R20-R86</f>
        <v>0.69056253099939235</v>
      </c>
      <c r="U20" s="203">
        <v>1825</v>
      </c>
      <c r="V20" s="294">
        <v>2128</v>
      </c>
      <c r="W20" s="360">
        <v>2216</v>
      </c>
      <c r="X20" s="294">
        <v>2278</v>
      </c>
      <c r="Y20" s="202">
        <v>2398</v>
      </c>
      <c r="Z20" s="31"/>
      <c r="AA20" s="131" t="s">
        <v>22</v>
      </c>
      <c r="AB20" s="220">
        <f t="shared" si="4"/>
        <v>303</v>
      </c>
      <c r="AC20" s="730">
        <f t="shared" si="5"/>
        <v>1.1660273972602739</v>
      </c>
      <c r="AD20" s="394">
        <f t="shared" si="6"/>
        <v>88</v>
      </c>
      <c r="AE20" s="726">
        <f t="shared" si="7"/>
        <v>1.0413533834586466</v>
      </c>
      <c r="AF20" s="306">
        <f t="shared" si="8"/>
        <v>62</v>
      </c>
      <c r="AG20" s="306">
        <f t="shared" si="9"/>
        <v>120</v>
      </c>
      <c r="AH20" s="302">
        <f t="shared" si="10"/>
        <v>573</v>
      </c>
      <c r="AI20" s="670">
        <f t="shared" si="11"/>
        <v>1.313972602739726</v>
      </c>
    </row>
    <row r="21" spans="2:35" s="3" customFormat="1" ht="14" x14ac:dyDescent="0.3">
      <c r="B21" s="10" t="s">
        <v>7</v>
      </c>
      <c r="C21" s="36" t="s">
        <v>23</v>
      </c>
      <c r="D21" s="268"/>
      <c r="E21" s="261">
        <v>59</v>
      </c>
      <c r="F21" s="41">
        <v>28</v>
      </c>
      <c r="G21" s="162">
        <v>97</v>
      </c>
      <c r="I21" s="262">
        <f t="shared" si="0"/>
        <v>38</v>
      </c>
      <c r="J21" s="178">
        <f t="shared" si="1"/>
        <v>1.6440677966101696</v>
      </c>
      <c r="K21" s="695">
        <f>J21-J86</f>
        <v>0.51833311986793618</v>
      </c>
      <c r="N21" s="10" t="s">
        <v>7</v>
      </c>
      <c r="O21" s="36" t="s">
        <v>23</v>
      </c>
      <c r="Q21" s="191">
        <f t="shared" si="2"/>
        <v>69</v>
      </c>
      <c r="R21" s="264">
        <f t="shared" si="3"/>
        <v>3.4642857142857144</v>
      </c>
      <c r="S21" s="685">
        <f>R21-R86</f>
        <v>1.133053373490235</v>
      </c>
      <c r="U21" s="203">
        <v>59</v>
      </c>
      <c r="V21" s="294">
        <v>61</v>
      </c>
      <c r="W21" s="360">
        <v>69</v>
      </c>
      <c r="X21" s="294">
        <v>82</v>
      </c>
      <c r="Y21" s="202">
        <v>90</v>
      </c>
      <c r="Z21" s="31"/>
      <c r="AA21" s="131" t="s">
        <v>23</v>
      </c>
      <c r="AB21" s="220">
        <f t="shared" si="4"/>
        <v>2</v>
      </c>
      <c r="AC21" s="726">
        <f t="shared" si="5"/>
        <v>1.0338983050847457</v>
      </c>
      <c r="AD21" s="394">
        <f t="shared" si="6"/>
        <v>8</v>
      </c>
      <c r="AE21" s="730">
        <f t="shared" si="7"/>
        <v>1.1311475409836065</v>
      </c>
      <c r="AF21" s="306">
        <f t="shared" si="8"/>
        <v>13</v>
      </c>
      <c r="AG21" s="306">
        <f t="shared" si="9"/>
        <v>8</v>
      </c>
      <c r="AH21" s="302">
        <f t="shared" si="10"/>
        <v>31</v>
      </c>
      <c r="AI21" s="670">
        <f t="shared" si="11"/>
        <v>1.5254237288135593</v>
      </c>
    </row>
    <row r="22" spans="2:35" s="3" customFormat="1" ht="14" x14ac:dyDescent="0.3">
      <c r="B22" s="10" t="s">
        <v>24</v>
      </c>
      <c r="C22" s="36" t="s">
        <v>25</v>
      </c>
      <c r="D22" s="268"/>
      <c r="E22" s="261">
        <v>83</v>
      </c>
      <c r="F22" s="41">
        <v>19</v>
      </c>
      <c r="G22" s="162">
        <v>105</v>
      </c>
      <c r="I22" s="262">
        <f t="shared" si="0"/>
        <v>22</v>
      </c>
      <c r="J22" s="178">
        <f t="shared" si="1"/>
        <v>1.2650602409638554</v>
      </c>
      <c r="K22" s="698">
        <f>J22-J86</f>
        <v>0.13932556422162201</v>
      </c>
      <c r="N22" s="10" t="s">
        <v>24</v>
      </c>
      <c r="O22" s="36" t="s">
        <v>25</v>
      </c>
      <c r="Q22" s="191">
        <f t="shared" si="2"/>
        <v>86</v>
      </c>
      <c r="R22" s="264">
        <f t="shared" si="3"/>
        <v>5.5263157894736841</v>
      </c>
      <c r="S22" s="685">
        <f>R22-R86</f>
        <v>3.1950834486782047</v>
      </c>
      <c r="U22" s="203">
        <v>83</v>
      </c>
      <c r="V22" s="294">
        <v>83</v>
      </c>
      <c r="W22" s="360">
        <v>88</v>
      </c>
      <c r="X22" s="294">
        <v>90</v>
      </c>
      <c r="Y22" s="202">
        <v>94</v>
      </c>
      <c r="Z22" s="31"/>
      <c r="AA22" s="131" t="s">
        <v>25</v>
      </c>
      <c r="AB22" s="220">
        <f t="shared" si="4"/>
        <v>0</v>
      </c>
      <c r="AC22" s="726">
        <f t="shared" si="5"/>
        <v>1</v>
      </c>
      <c r="AD22" s="394">
        <f t="shared" si="6"/>
        <v>5</v>
      </c>
      <c r="AE22" s="726">
        <f t="shared" si="7"/>
        <v>1.0602409638554218</v>
      </c>
      <c r="AF22" s="306">
        <f t="shared" si="8"/>
        <v>2</v>
      </c>
      <c r="AG22" s="306">
        <f t="shared" si="9"/>
        <v>4</v>
      </c>
      <c r="AH22" s="302">
        <f t="shared" si="10"/>
        <v>11</v>
      </c>
      <c r="AI22" s="675">
        <f t="shared" si="11"/>
        <v>1.1325301204819278</v>
      </c>
    </row>
    <row r="23" spans="2:35" s="3" customFormat="1" ht="14" x14ac:dyDescent="0.3">
      <c r="B23" s="10" t="s">
        <v>26</v>
      </c>
      <c r="C23" s="36" t="s">
        <v>27</v>
      </c>
      <c r="D23" s="268"/>
      <c r="E23" s="261">
        <v>53</v>
      </c>
      <c r="F23" s="41">
        <v>24</v>
      </c>
      <c r="G23" s="162">
        <v>59</v>
      </c>
      <c r="I23" s="262">
        <f t="shared" si="0"/>
        <v>6</v>
      </c>
      <c r="J23" s="178">
        <f t="shared" si="1"/>
        <v>1.1132075471698113</v>
      </c>
      <c r="K23" s="700">
        <f>J23-J86</f>
        <v>-1.252712957242208E-2</v>
      </c>
      <c r="N23" s="10" t="s">
        <v>26</v>
      </c>
      <c r="O23" s="36" t="s">
        <v>27</v>
      </c>
      <c r="Q23" s="191">
        <f t="shared" si="2"/>
        <v>35</v>
      </c>
      <c r="R23" s="264">
        <f t="shared" si="3"/>
        <v>2.4583333333333335</v>
      </c>
      <c r="S23" s="688">
        <f>R23-R86</f>
        <v>0.12710099253785412</v>
      </c>
      <c r="U23" s="203">
        <v>53</v>
      </c>
      <c r="V23" s="294">
        <v>50</v>
      </c>
      <c r="W23" s="360">
        <v>54</v>
      </c>
      <c r="X23" s="294">
        <v>51</v>
      </c>
      <c r="Y23" s="202">
        <v>65</v>
      </c>
      <c r="Z23" s="31"/>
      <c r="AA23" s="131" t="s">
        <v>27</v>
      </c>
      <c r="AB23" s="220">
        <f t="shared" si="4"/>
        <v>-3</v>
      </c>
      <c r="AC23" s="733">
        <f t="shared" si="5"/>
        <v>0.94339622641509435</v>
      </c>
      <c r="AD23" s="394">
        <f t="shared" si="6"/>
        <v>4</v>
      </c>
      <c r="AE23" s="726">
        <f t="shared" si="7"/>
        <v>1.08</v>
      </c>
      <c r="AF23" s="306">
        <f t="shared" si="8"/>
        <v>-3</v>
      </c>
      <c r="AG23" s="306">
        <f t="shared" si="9"/>
        <v>14</v>
      </c>
      <c r="AH23" s="302">
        <f t="shared" si="10"/>
        <v>12</v>
      </c>
      <c r="AI23" s="676">
        <f t="shared" si="11"/>
        <v>1.2264150943396226</v>
      </c>
    </row>
    <row r="24" spans="2:35" s="3" customFormat="1" ht="14" x14ac:dyDescent="0.3">
      <c r="B24" s="10" t="s">
        <v>26</v>
      </c>
      <c r="C24" s="36" t="s">
        <v>28</v>
      </c>
      <c r="D24" s="268"/>
      <c r="E24" s="261">
        <v>101</v>
      </c>
      <c r="F24" s="41">
        <v>99</v>
      </c>
      <c r="G24" s="162">
        <v>125</v>
      </c>
      <c r="I24" s="262">
        <f t="shared" si="0"/>
        <v>24</v>
      </c>
      <c r="J24" s="178">
        <f t="shared" si="1"/>
        <v>1.2376237623762376</v>
      </c>
      <c r="K24" s="698">
        <f>J24-J86</f>
        <v>0.11188908563400424</v>
      </c>
      <c r="N24" s="10" t="s">
        <v>26</v>
      </c>
      <c r="O24" s="36" t="s">
        <v>28</v>
      </c>
      <c r="Q24" s="191">
        <f t="shared" si="2"/>
        <v>26</v>
      </c>
      <c r="R24" s="264">
        <f t="shared" si="3"/>
        <v>1.2626262626262625</v>
      </c>
      <c r="S24" s="693">
        <f>R24-R86</f>
        <v>-1.0686060781692168</v>
      </c>
      <c r="U24" s="203">
        <v>101</v>
      </c>
      <c r="V24" s="294">
        <v>109</v>
      </c>
      <c r="W24" s="359">
        <v>113</v>
      </c>
      <c r="X24" s="294">
        <v>119</v>
      </c>
      <c r="Y24" s="202">
        <v>123</v>
      </c>
      <c r="Z24" s="31"/>
      <c r="AA24" s="131" t="s">
        <v>28</v>
      </c>
      <c r="AB24" s="220">
        <f t="shared" si="4"/>
        <v>8</v>
      </c>
      <c r="AC24" s="726">
        <f t="shared" si="5"/>
        <v>1.0792079207920793</v>
      </c>
      <c r="AD24" s="394">
        <f t="shared" si="6"/>
        <v>4</v>
      </c>
      <c r="AE24" s="726">
        <f t="shared" si="7"/>
        <v>1.036697247706422</v>
      </c>
      <c r="AF24" s="306">
        <f t="shared" si="8"/>
        <v>6</v>
      </c>
      <c r="AG24" s="306">
        <f t="shared" si="9"/>
        <v>4</v>
      </c>
      <c r="AH24" s="302">
        <f t="shared" si="10"/>
        <v>22</v>
      </c>
      <c r="AI24" s="676">
        <f t="shared" si="11"/>
        <v>1.2178217821782178</v>
      </c>
    </row>
    <row r="25" spans="2:35" s="3" customFormat="1" ht="14" x14ac:dyDescent="0.3">
      <c r="B25" s="10" t="s">
        <v>26</v>
      </c>
      <c r="C25" s="36" t="s">
        <v>29</v>
      </c>
      <c r="D25" s="268"/>
      <c r="E25" s="261">
        <v>313</v>
      </c>
      <c r="F25" s="41">
        <v>200</v>
      </c>
      <c r="G25" s="162">
        <v>300</v>
      </c>
      <c r="I25" s="262">
        <f t="shared" si="0"/>
        <v>-13</v>
      </c>
      <c r="J25" s="178">
        <f t="shared" si="1"/>
        <v>0.95846645367412142</v>
      </c>
      <c r="K25" s="701">
        <f>J25-J86</f>
        <v>-0.16726822306811195</v>
      </c>
      <c r="N25" s="10" t="s">
        <v>26</v>
      </c>
      <c r="O25" s="36" t="s">
        <v>29</v>
      </c>
      <c r="Q25" s="191">
        <f t="shared" si="2"/>
        <v>100</v>
      </c>
      <c r="R25" s="264">
        <f t="shared" si="3"/>
        <v>1.5</v>
      </c>
      <c r="S25" s="693">
        <f>R25-R86</f>
        <v>-0.83123234079547936</v>
      </c>
      <c r="U25" s="203">
        <v>313</v>
      </c>
      <c r="V25" s="294">
        <v>334</v>
      </c>
      <c r="W25" s="359">
        <v>346</v>
      </c>
      <c r="X25" s="294">
        <v>329</v>
      </c>
      <c r="Y25" s="202">
        <v>354</v>
      </c>
      <c r="Z25" s="31"/>
      <c r="AA25" s="131" t="s">
        <v>29</v>
      </c>
      <c r="AB25" s="220">
        <f t="shared" si="4"/>
        <v>21</v>
      </c>
      <c r="AC25" s="726">
        <f t="shared" si="5"/>
        <v>1.0670926517571886</v>
      </c>
      <c r="AD25" s="394">
        <f t="shared" si="6"/>
        <v>12</v>
      </c>
      <c r="AE25" s="726">
        <f t="shared" si="7"/>
        <v>1.0359281437125749</v>
      </c>
      <c r="AF25" s="306">
        <f t="shared" si="8"/>
        <v>-17</v>
      </c>
      <c r="AG25" s="306">
        <f t="shared" si="9"/>
        <v>25</v>
      </c>
      <c r="AH25" s="302">
        <f t="shared" si="10"/>
        <v>41</v>
      </c>
      <c r="AI25" s="675">
        <f t="shared" si="11"/>
        <v>1.1309904153354633</v>
      </c>
    </row>
    <row r="26" spans="2:35" s="3" customFormat="1" ht="14" x14ac:dyDescent="0.3">
      <c r="B26" s="10" t="s">
        <v>26</v>
      </c>
      <c r="C26" s="36" t="s">
        <v>30</v>
      </c>
      <c r="D26" s="268"/>
      <c r="E26" s="261">
        <v>119</v>
      </c>
      <c r="F26" s="41">
        <v>62</v>
      </c>
      <c r="G26" s="162">
        <v>115</v>
      </c>
      <c r="I26" s="262">
        <f t="shared" si="0"/>
        <v>-4</v>
      </c>
      <c r="J26" s="178">
        <f t="shared" si="1"/>
        <v>0.96638655462184875</v>
      </c>
      <c r="K26" s="701">
        <f>J26-J86</f>
        <v>-0.15934812212038463</v>
      </c>
      <c r="N26" s="10" t="s">
        <v>26</v>
      </c>
      <c r="O26" s="36" t="s">
        <v>30</v>
      </c>
      <c r="Q26" s="191">
        <f t="shared" si="2"/>
        <v>53</v>
      </c>
      <c r="R26" s="264">
        <f t="shared" si="3"/>
        <v>1.8548387096774193</v>
      </c>
      <c r="S26" s="693">
        <f>R26-R86</f>
        <v>-0.4763936311180601</v>
      </c>
      <c r="U26" s="203">
        <v>119</v>
      </c>
      <c r="V26" s="294">
        <v>112</v>
      </c>
      <c r="W26" s="359">
        <v>113</v>
      </c>
      <c r="X26" s="294">
        <v>116</v>
      </c>
      <c r="Y26" s="202">
        <v>116</v>
      </c>
      <c r="Z26" s="31"/>
      <c r="AA26" s="131" t="s">
        <v>30</v>
      </c>
      <c r="AB26" s="220">
        <f t="shared" si="4"/>
        <v>-7</v>
      </c>
      <c r="AC26" s="733">
        <f t="shared" si="5"/>
        <v>0.94117647058823528</v>
      </c>
      <c r="AD26" s="394">
        <f t="shared" si="6"/>
        <v>1</v>
      </c>
      <c r="AE26" s="726">
        <f t="shared" si="7"/>
        <v>1.0089285714285714</v>
      </c>
      <c r="AF26" s="306">
        <f t="shared" si="8"/>
        <v>3</v>
      </c>
      <c r="AG26" s="306">
        <f t="shared" si="9"/>
        <v>0</v>
      </c>
      <c r="AH26" s="302">
        <f t="shared" si="10"/>
        <v>-3</v>
      </c>
      <c r="AI26" s="679">
        <f t="shared" si="11"/>
        <v>0.97478991596638653</v>
      </c>
    </row>
    <row r="27" spans="2:35" s="3" customFormat="1" ht="14" x14ac:dyDescent="0.3">
      <c r="B27" s="10" t="s">
        <v>26</v>
      </c>
      <c r="C27" s="36" t="s">
        <v>31</v>
      </c>
      <c r="D27" s="268"/>
      <c r="E27" s="261">
        <v>318</v>
      </c>
      <c r="F27" s="41">
        <v>197</v>
      </c>
      <c r="G27" s="162">
        <v>318</v>
      </c>
      <c r="I27" s="262">
        <f t="shared" si="0"/>
        <v>0</v>
      </c>
      <c r="J27" s="178">
        <f t="shared" si="1"/>
        <v>1</v>
      </c>
      <c r="K27" s="701">
        <f>J27-J86</f>
        <v>-0.12573467674223338</v>
      </c>
      <c r="N27" s="10" t="s">
        <v>26</v>
      </c>
      <c r="O27" s="36" t="s">
        <v>31</v>
      </c>
      <c r="Q27" s="191">
        <f t="shared" si="2"/>
        <v>121</v>
      </c>
      <c r="R27" s="264">
        <f t="shared" si="3"/>
        <v>1.6142131979695431</v>
      </c>
      <c r="S27" s="693">
        <f>R27-R86</f>
        <v>-0.71701914282593626</v>
      </c>
      <c r="U27" s="203">
        <v>318</v>
      </c>
      <c r="V27" s="294">
        <v>308</v>
      </c>
      <c r="W27" s="359">
        <v>305</v>
      </c>
      <c r="X27" s="294">
        <v>303</v>
      </c>
      <c r="Y27" s="202">
        <v>314</v>
      </c>
      <c r="Z27" s="31"/>
      <c r="AA27" s="131" t="s">
        <v>31</v>
      </c>
      <c r="AB27" s="220">
        <f t="shared" si="4"/>
        <v>-10</v>
      </c>
      <c r="AC27" s="733">
        <f t="shared" si="5"/>
        <v>0.96855345911949686</v>
      </c>
      <c r="AD27" s="394">
        <f t="shared" si="6"/>
        <v>-3</v>
      </c>
      <c r="AE27" s="733">
        <f t="shared" si="7"/>
        <v>0.99025974025974028</v>
      </c>
      <c r="AF27" s="306">
        <f t="shared" si="8"/>
        <v>-2</v>
      </c>
      <c r="AG27" s="306">
        <f t="shared" si="9"/>
        <v>11</v>
      </c>
      <c r="AH27" s="302">
        <f t="shared" si="10"/>
        <v>-4</v>
      </c>
      <c r="AI27" s="679">
        <f t="shared" si="11"/>
        <v>0.98742138364779874</v>
      </c>
    </row>
    <row r="28" spans="2:35" s="3" customFormat="1" ht="14" x14ac:dyDescent="0.3">
      <c r="B28" s="10" t="s">
        <v>26</v>
      </c>
      <c r="C28" s="36" t="s">
        <v>32</v>
      </c>
      <c r="D28" s="268"/>
      <c r="E28" s="261">
        <v>33</v>
      </c>
      <c r="F28" s="41">
        <v>14</v>
      </c>
      <c r="G28" s="162">
        <v>35</v>
      </c>
      <c r="I28" s="262">
        <f t="shared" si="0"/>
        <v>2</v>
      </c>
      <c r="J28" s="178">
        <f t="shared" si="1"/>
        <v>1.0606060606060606</v>
      </c>
      <c r="K28" s="700">
        <f>J28-J86</f>
        <v>-6.5128616136172823E-2</v>
      </c>
      <c r="N28" s="10" t="s">
        <v>26</v>
      </c>
      <c r="O28" s="36" t="s">
        <v>32</v>
      </c>
      <c r="Q28" s="191">
        <f t="shared" si="2"/>
        <v>21</v>
      </c>
      <c r="R28" s="264">
        <f t="shared" si="3"/>
        <v>2.5</v>
      </c>
      <c r="S28" s="688">
        <f>R28-R86</f>
        <v>0.16876765920452064</v>
      </c>
      <c r="U28" s="203">
        <v>33</v>
      </c>
      <c r="V28" s="294">
        <v>35</v>
      </c>
      <c r="W28" s="359">
        <v>38</v>
      </c>
      <c r="X28" s="294">
        <v>35</v>
      </c>
      <c r="Y28" s="202">
        <v>40</v>
      </c>
      <c r="Z28" s="31"/>
      <c r="AA28" s="131" t="s">
        <v>32</v>
      </c>
      <c r="AB28" s="220">
        <f t="shared" si="4"/>
        <v>2</v>
      </c>
      <c r="AC28" s="726">
        <f t="shared" si="5"/>
        <v>1.0606060606060606</v>
      </c>
      <c r="AD28" s="394">
        <f t="shared" si="6"/>
        <v>3</v>
      </c>
      <c r="AE28" s="726">
        <f t="shared" si="7"/>
        <v>1.0857142857142856</v>
      </c>
      <c r="AF28" s="306">
        <f t="shared" si="8"/>
        <v>-3</v>
      </c>
      <c r="AG28" s="306">
        <f t="shared" si="9"/>
        <v>5</v>
      </c>
      <c r="AH28" s="302">
        <f t="shared" si="10"/>
        <v>7</v>
      </c>
      <c r="AI28" s="676">
        <f t="shared" si="11"/>
        <v>1.2121212121212122</v>
      </c>
    </row>
    <row r="29" spans="2:35" s="3" customFormat="1" ht="14" x14ac:dyDescent="0.3">
      <c r="B29" s="10" t="s">
        <v>26</v>
      </c>
      <c r="C29" s="36" t="s">
        <v>33</v>
      </c>
      <c r="D29" s="268"/>
      <c r="E29" s="261">
        <v>71</v>
      </c>
      <c r="F29" s="41">
        <v>7</v>
      </c>
      <c r="G29" s="162">
        <v>84</v>
      </c>
      <c r="I29" s="262">
        <f t="shared" si="0"/>
        <v>13</v>
      </c>
      <c r="J29" s="178">
        <f t="shared" si="1"/>
        <v>1.1830985915492958</v>
      </c>
      <c r="K29" s="696">
        <f>J29-J86</f>
        <v>5.7363914807062377E-2</v>
      </c>
      <c r="N29" s="10" t="s">
        <v>26</v>
      </c>
      <c r="O29" s="36" t="s">
        <v>33</v>
      </c>
      <c r="Q29" s="191">
        <f t="shared" si="2"/>
        <v>77</v>
      </c>
      <c r="R29" s="264">
        <f t="shared" si="3"/>
        <v>12</v>
      </c>
      <c r="S29" s="685">
        <f>R29-R86</f>
        <v>9.6687676592045211</v>
      </c>
      <c r="U29" s="203">
        <v>71</v>
      </c>
      <c r="V29" s="294">
        <v>76</v>
      </c>
      <c r="W29" s="359">
        <v>86</v>
      </c>
      <c r="X29" s="294">
        <v>82</v>
      </c>
      <c r="Y29" s="202">
        <v>86</v>
      </c>
      <c r="Z29" s="31"/>
      <c r="AA29" s="131" t="s">
        <v>33</v>
      </c>
      <c r="AB29" s="220">
        <f t="shared" si="4"/>
        <v>5</v>
      </c>
      <c r="AC29" s="726">
        <f t="shared" si="5"/>
        <v>1.0704225352112675</v>
      </c>
      <c r="AD29" s="394">
        <f t="shared" si="6"/>
        <v>10</v>
      </c>
      <c r="AE29" s="730">
        <f t="shared" si="7"/>
        <v>1.131578947368421</v>
      </c>
      <c r="AF29" s="306">
        <f t="shared" si="8"/>
        <v>-4</v>
      </c>
      <c r="AG29" s="306">
        <f t="shared" si="9"/>
        <v>4</v>
      </c>
      <c r="AH29" s="302">
        <f t="shared" si="10"/>
        <v>15</v>
      </c>
      <c r="AI29" s="676">
        <f t="shared" si="11"/>
        <v>1.2112676056338028</v>
      </c>
    </row>
    <row r="30" spans="2:35" s="3" customFormat="1" ht="14" x14ac:dyDescent="0.3">
      <c r="B30" s="10" t="s">
        <v>26</v>
      </c>
      <c r="C30" s="36" t="s">
        <v>34</v>
      </c>
      <c r="D30" s="268"/>
      <c r="E30" s="261">
        <v>36</v>
      </c>
      <c r="F30" s="41">
        <v>17</v>
      </c>
      <c r="G30" s="162">
        <v>42</v>
      </c>
      <c r="I30" s="262">
        <f t="shared" si="0"/>
        <v>6</v>
      </c>
      <c r="J30" s="178">
        <f t="shared" si="1"/>
        <v>1.1666666666666667</v>
      </c>
      <c r="K30" s="696">
        <f>J30-J86</f>
        <v>4.0931989924433365E-2</v>
      </c>
      <c r="N30" s="10" t="s">
        <v>26</v>
      </c>
      <c r="O30" s="36" t="s">
        <v>34</v>
      </c>
      <c r="Q30" s="191">
        <f t="shared" si="2"/>
        <v>25</v>
      </c>
      <c r="R30" s="264">
        <f t="shared" si="3"/>
        <v>2.4705882352941178</v>
      </c>
      <c r="S30" s="688">
        <f>R30-R86</f>
        <v>0.13935589449863839</v>
      </c>
      <c r="U30" s="203">
        <v>36</v>
      </c>
      <c r="V30" s="294">
        <v>35</v>
      </c>
      <c r="W30" s="359">
        <v>37</v>
      </c>
      <c r="X30" s="294">
        <v>39</v>
      </c>
      <c r="Y30" s="202">
        <v>31</v>
      </c>
      <c r="Z30" s="31"/>
      <c r="AA30" s="131" t="s">
        <v>34</v>
      </c>
      <c r="AB30" s="220">
        <f t="shared" si="4"/>
        <v>-1</v>
      </c>
      <c r="AC30" s="733">
        <f t="shared" si="5"/>
        <v>0.97222222222222221</v>
      </c>
      <c r="AD30" s="394">
        <f t="shared" si="6"/>
        <v>2</v>
      </c>
      <c r="AE30" s="726">
        <f t="shared" si="7"/>
        <v>1.0571428571428572</v>
      </c>
      <c r="AF30" s="306">
        <f t="shared" si="8"/>
        <v>2</v>
      </c>
      <c r="AG30" s="306">
        <f t="shared" si="9"/>
        <v>-8</v>
      </c>
      <c r="AH30" s="302">
        <f t="shared" si="10"/>
        <v>-5</v>
      </c>
      <c r="AI30" s="680">
        <f t="shared" si="11"/>
        <v>0.86111111111111116</v>
      </c>
    </row>
    <row r="31" spans="2:35" s="3" customFormat="1" ht="14" x14ac:dyDescent="0.3">
      <c r="B31" s="10" t="s">
        <v>35</v>
      </c>
      <c r="C31" s="36" t="s">
        <v>36</v>
      </c>
      <c r="D31" s="268"/>
      <c r="E31" s="261">
        <v>188</v>
      </c>
      <c r="F31" s="41">
        <v>89</v>
      </c>
      <c r="G31" s="162">
        <v>208</v>
      </c>
      <c r="I31" s="262">
        <f t="shared" si="0"/>
        <v>20</v>
      </c>
      <c r="J31" s="178">
        <f t="shared" si="1"/>
        <v>1.1063829787234043</v>
      </c>
      <c r="K31" s="700">
        <f>J31-J86</f>
        <v>-1.9351698018829078E-2</v>
      </c>
      <c r="N31" s="10" t="s">
        <v>35</v>
      </c>
      <c r="O31" s="36" t="s">
        <v>36</v>
      </c>
      <c r="Q31" s="191">
        <f t="shared" si="2"/>
        <v>119</v>
      </c>
      <c r="R31" s="264">
        <f t="shared" si="3"/>
        <v>2.3370786516853932</v>
      </c>
      <c r="S31" s="687">
        <f>R31-R86</f>
        <v>5.8463108899138305E-3</v>
      </c>
      <c r="U31" s="203">
        <v>188</v>
      </c>
      <c r="V31" s="294">
        <v>196</v>
      </c>
      <c r="W31" s="360">
        <v>197</v>
      </c>
      <c r="X31" s="294">
        <v>206</v>
      </c>
      <c r="Y31" s="202">
        <v>206</v>
      </c>
      <c r="Z31" s="31"/>
      <c r="AA31" s="131" t="s">
        <v>36</v>
      </c>
      <c r="AB31" s="220">
        <f t="shared" si="4"/>
        <v>8</v>
      </c>
      <c r="AC31" s="726">
        <f t="shared" si="5"/>
        <v>1.0425531914893618</v>
      </c>
      <c r="AD31" s="394">
        <f t="shared" si="6"/>
        <v>1</v>
      </c>
      <c r="AE31" s="726">
        <f t="shared" si="7"/>
        <v>1.0051020408163265</v>
      </c>
      <c r="AF31" s="306">
        <f t="shared" si="8"/>
        <v>9</v>
      </c>
      <c r="AG31" s="306">
        <f t="shared" si="9"/>
        <v>0</v>
      </c>
      <c r="AH31" s="302">
        <f t="shared" si="10"/>
        <v>18</v>
      </c>
      <c r="AI31" s="675">
        <f t="shared" si="11"/>
        <v>1.0957446808510638</v>
      </c>
    </row>
    <row r="32" spans="2:35" s="3" customFormat="1" ht="14" x14ac:dyDescent="0.3">
      <c r="B32" s="10" t="s">
        <v>35</v>
      </c>
      <c r="C32" s="36" t="s">
        <v>37</v>
      </c>
      <c r="D32" s="268"/>
      <c r="E32" s="261">
        <v>75</v>
      </c>
      <c r="F32" s="41">
        <v>40</v>
      </c>
      <c r="G32" s="162">
        <v>83</v>
      </c>
      <c r="I32" s="262">
        <f t="shared" si="0"/>
        <v>8</v>
      </c>
      <c r="J32" s="178">
        <f t="shared" si="1"/>
        <v>1.1066666666666667</v>
      </c>
      <c r="K32" s="700">
        <f>J32-J86</f>
        <v>-1.9068010075566688E-2</v>
      </c>
      <c r="N32" s="10" t="s">
        <v>35</v>
      </c>
      <c r="O32" s="36" t="s">
        <v>37</v>
      </c>
      <c r="Q32" s="191">
        <f t="shared" si="2"/>
        <v>43</v>
      </c>
      <c r="R32" s="264">
        <f t="shared" si="3"/>
        <v>2.0750000000000002</v>
      </c>
      <c r="S32" s="692">
        <f>R32-R86</f>
        <v>-0.25623234079547919</v>
      </c>
      <c r="U32" s="203">
        <v>75</v>
      </c>
      <c r="V32" s="294">
        <v>78</v>
      </c>
      <c r="W32" s="360">
        <v>84</v>
      </c>
      <c r="X32" s="294">
        <v>83</v>
      </c>
      <c r="Y32" s="202">
        <v>91</v>
      </c>
      <c r="Z32" s="31"/>
      <c r="AA32" s="131" t="s">
        <v>37</v>
      </c>
      <c r="AB32" s="220">
        <f t="shared" si="4"/>
        <v>3</v>
      </c>
      <c r="AC32" s="726">
        <f t="shared" si="5"/>
        <v>1.04</v>
      </c>
      <c r="AD32" s="394">
        <f t="shared" si="6"/>
        <v>6</v>
      </c>
      <c r="AE32" s="726">
        <f t="shared" si="7"/>
        <v>1.0769230769230769</v>
      </c>
      <c r="AF32" s="306">
        <f t="shared" si="8"/>
        <v>-1</v>
      </c>
      <c r="AG32" s="306">
        <f t="shared" si="9"/>
        <v>8</v>
      </c>
      <c r="AH32" s="302">
        <f t="shared" si="10"/>
        <v>16</v>
      </c>
      <c r="AI32" s="676">
        <f t="shared" si="11"/>
        <v>1.2133333333333334</v>
      </c>
    </row>
    <row r="33" spans="2:35" s="3" customFormat="1" ht="14" x14ac:dyDescent="0.3">
      <c r="B33" s="10" t="s">
        <v>35</v>
      </c>
      <c r="C33" s="36" t="s">
        <v>38</v>
      </c>
      <c r="D33" s="268"/>
      <c r="E33" s="261">
        <v>145</v>
      </c>
      <c r="F33" s="41">
        <v>74</v>
      </c>
      <c r="G33" s="162">
        <v>165</v>
      </c>
      <c r="I33" s="262">
        <f t="shared" si="0"/>
        <v>20</v>
      </c>
      <c r="J33" s="178">
        <f t="shared" si="1"/>
        <v>1.1379310344827587</v>
      </c>
      <c r="K33" s="696">
        <f>J33-J86</f>
        <v>1.2196357740525299E-2</v>
      </c>
      <c r="N33" s="10" t="s">
        <v>35</v>
      </c>
      <c r="O33" s="36" t="s">
        <v>38</v>
      </c>
      <c r="Q33" s="191">
        <f t="shared" si="2"/>
        <v>91</v>
      </c>
      <c r="R33" s="264">
        <f t="shared" si="3"/>
        <v>2.2297297297297298</v>
      </c>
      <c r="S33" s="690">
        <f>R33-R86</f>
        <v>-0.10150261106574954</v>
      </c>
      <c r="U33" s="203">
        <v>145</v>
      </c>
      <c r="V33" s="294">
        <v>153</v>
      </c>
      <c r="W33" s="360">
        <v>161</v>
      </c>
      <c r="X33" s="294">
        <v>163</v>
      </c>
      <c r="Y33" s="202">
        <v>162</v>
      </c>
      <c r="Z33" s="31"/>
      <c r="AA33" s="131" t="s">
        <v>38</v>
      </c>
      <c r="AB33" s="220">
        <f t="shared" si="4"/>
        <v>8</v>
      </c>
      <c r="AC33" s="726">
        <f t="shared" si="5"/>
        <v>1.0551724137931036</v>
      </c>
      <c r="AD33" s="394">
        <f t="shared" si="6"/>
        <v>8</v>
      </c>
      <c r="AE33" s="726">
        <f t="shared" si="7"/>
        <v>1.0522875816993464</v>
      </c>
      <c r="AF33" s="306">
        <f t="shared" si="8"/>
        <v>2</v>
      </c>
      <c r="AG33" s="306">
        <f t="shared" si="9"/>
        <v>-1</v>
      </c>
      <c r="AH33" s="302">
        <f t="shared" si="10"/>
        <v>17</v>
      </c>
      <c r="AI33" s="675">
        <f t="shared" si="11"/>
        <v>1.1172413793103448</v>
      </c>
    </row>
    <row r="34" spans="2:35" s="3" customFormat="1" ht="14" x14ac:dyDescent="0.3">
      <c r="B34" s="10" t="s">
        <v>39</v>
      </c>
      <c r="C34" s="36" t="s">
        <v>40</v>
      </c>
      <c r="D34" s="268"/>
      <c r="E34" s="261">
        <v>79</v>
      </c>
      <c r="F34" s="41">
        <v>40</v>
      </c>
      <c r="G34" s="162">
        <v>111</v>
      </c>
      <c r="I34" s="262">
        <f t="shared" si="0"/>
        <v>32</v>
      </c>
      <c r="J34" s="178">
        <f t="shared" si="1"/>
        <v>1.4050632911392404</v>
      </c>
      <c r="K34" s="699">
        <f>J34-J86</f>
        <v>0.27932861439700707</v>
      </c>
      <c r="N34" s="10" t="s">
        <v>39</v>
      </c>
      <c r="O34" s="36" t="s">
        <v>40</v>
      </c>
      <c r="Q34" s="192">
        <f t="shared" si="2"/>
        <v>71</v>
      </c>
      <c r="R34" s="265">
        <f t="shared" si="3"/>
        <v>2.7749999999999999</v>
      </c>
      <c r="S34" s="686">
        <f>R34-R86</f>
        <v>0.44376765920452055</v>
      </c>
      <c r="U34" s="203">
        <v>79</v>
      </c>
      <c r="V34" s="294">
        <v>77</v>
      </c>
      <c r="W34" s="360">
        <v>116</v>
      </c>
      <c r="X34" s="294">
        <v>111</v>
      </c>
      <c r="Y34" s="202">
        <v>103</v>
      </c>
      <c r="Z34" s="31"/>
      <c r="AA34" s="131" t="s">
        <v>40</v>
      </c>
      <c r="AB34" s="203">
        <f t="shared" si="4"/>
        <v>-2</v>
      </c>
      <c r="AC34" s="736">
        <f t="shared" si="5"/>
        <v>0.97468354430379744</v>
      </c>
      <c r="AD34" s="394">
        <f t="shared" si="6"/>
        <v>39</v>
      </c>
      <c r="AE34" s="727">
        <f t="shared" si="7"/>
        <v>1.5064935064935066</v>
      </c>
      <c r="AF34" s="306">
        <f t="shared" si="8"/>
        <v>-5</v>
      </c>
      <c r="AG34" s="261">
        <f t="shared" si="9"/>
        <v>-8</v>
      </c>
      <c r="AH34" s="294">
        <f t="shared" si="10"/>
        <v>24</v>
      </c>
      <c r="AI34" s="671">
        <f t="shared" si="11"/>
        <v>1.3037974683544304</v>
      </c>
    </row>
    <row r="35" spans="2:35" s="3" customFormat="1" ht="14" x14ac:dyDescent="0.3">
      <c r="B35" s="10" t="s">
        <v>39</v>
      </c>
      <c r="C35" s="36" t="s">
        <v>41</v>
      </c>
      <c r="D35" s="268"/>
      <c r="E35" s="261">
        <v>59</v>
      </c>
      <c r="F35" s="41">
        <v>31</v>
      </c>
      <c r="G35" s="162">
        <v>117</v>
      </c>
      <c r="I35" s="386">
        <f t="shared" si="0"/>
        <v>58</v>
      </c>
      <c r="J35" s="387">
        <f t="shared" si="1"/>
        <v>1.9830508474576272</v>
      </c>
      <c r="K35" s="695">
        <f>J35-J86</f>
        <v>0.85731617071539379</v>
      </c>
      <c r="N35" s="10" t="s">
        <v>39</v>
      </c>
      <c r="O35" s="36" t="s">
        <v>41</v>
      </c>
      <c r="Q35" s="192">
        <f t="shared" si="2"/>
        <v>86</v>
      </c>
      <c r="R35" s="265">
        <f t="shared" si="3"/>
        <v>3.774193548387097</v>
      </c>
      <c r="S35" s="686">
        <f>R35-R86</f>
        <v>1.4429612075916176</v>
      </c>
      <c r="U35" s="203">
        <v>59</v>
      </c>
      <c r="V35" s="294">
        <v>70</v>
      </c>
      <c r="W35" s="359">
        <v>90</v>
      </c>
      <c r="X35" s="294">
        <v>99</v>
      </c>
      <c r="Y35" s="202">
        <v>115</v>
      </c>
      <c r="Z35" s="31"/>
      <c r="AA35" s="131" t="s">
        <v>41</v>
      </c>
      <c r="AB35" s="203">
        <f t="shared" si="4"/>
        <v>11</v>
      </c>
      <c r="AC35" s="731">
        <f t="shared" si="5"/>
        <v>1.1864406779661016</v>
      </c>
      <c r="AD35" s="394">
        <f t="shared" si="6"/>
        <v>20</v>
      </c>
      <c r="AE35" s="732">
        <f t="shared" si="7"/>
        <v>1.2857142857142858</v>
      </c>
      <c r="AF35" s="306">
        <f t="shared" si="8"/>
        <v>9</v>
      </c>
      <c r="AG35" s="261">
        <f t="shared" si="9"/>
        <v>16</v>
      </c>
      <c r="AH35" s="294">
        <f t="shared" si="10"/>
        <v>56</v>
      </c>
      <c r="AI35" s="671">
        <f t="shared" si="11"/>
        <v>1.9491525423728813</v>
      </c>
    </row>
    <row r="36" spans="2:35" s="3" customFormat="1" ht="14" x14ac:dyDescent="0.3">
      <c r="B36" s="10" t="s">
        <v>39</v>
      </c>
      <c r="C36" s="36" t="s">
        <v>42</v>
      </c>
      <c r="D36" s="268"/>
      <c r="E36" s="261">
        <v>121</v>
      </c>
      <c r="F36" s="41">
        <v>55</v>
      </c>
      <c r="G36" s="162">
        <v>125</v>
      </c>
      <c r="I36" s="262">
        <f t="shared" si="0"/>
        <v>4</v>
      </c>
      <c r="J36" s="178">
        <f t="shared" si="1"/>
        <v>1.0330578512396693</v>
      </c>
      <c r="K36" s="700">
        <f>J36-J86</f>
        <v>-9.2676825502564064E-2</v>
      </c>
      <c r="N36" s="10" t="s">
        <v>39</v>
      </c>
      <c r="O36" s="36" t="s">
        <v>42</v>
      </c>
      <c r="Q36" s="191">
        <f t="shared" si="2"/>
        <v>70</v>
      </c>
      <c r="R36" s="264">
        <f t="shared" si="3"/>
        <v>2.2727272727272729</v>
      </c>
      <c r="S36" s="690">
        <f>R36-R86</f>
        <v>-5.8505068068206434E-2</v>
      </c>
      <c r="U36" s="203">
        <v>121</v>
      </c>
      <c r="V36" s="294">
        <v>121</v>
      </c>
      <c r="W36" s="359">
        <v>106</v>
      </c>
      <c r="X36" s="294">
        <v>112</v>
      </c>
      <c r="Y36" s="202">
        <v>110</v>
      </c>
      <c r="Z36" s="31"/>
      <c r="AA36" s="131" t="s">
        <v>42</v>
      </c>
      <c r="AB36" s="220">
        <f t="shared" si="4"/>
        <v>0</v>
      </c>
      <c r="AC36" s="726">
        <f t="shared" si="5"/>
        <v>1</v>
      </c>
      <c r="AD36" s="394">
        <f t="shared" si="6"/>
        <v>-15</v>
      </c>
      <c r="AE36" s="737">
        <f t="shared" si="7"/>
        <v>0.87603305785123964</v>
      </c>
      <c r="AF36" s="306">
        <f t="shared" si="8"/>
        <v>6</v>
      </c>
      <c r="AG36" s="306">
        <f t="shared" si="9"/>
        <v>-2</v>
      </c>
      <c r="AH36" s="302">
        <f t="shared" si="10"/>
        <v>-11</v>
      </c>
      <c r="AI36" s="679">
        <f t="shared" si="11"/>
        <v>0.90909090909090906</v>
      </c>
    </row>
    <row r="37" spans="2:35" s="3" customFormat="1" ht="14" x14ac:dyDescent="0.3">
      <c r="B37" s="10" t="s">
        <v>43</v>
      </c>
      <c r="C37" s="36" t="s">
        <v>44</v>
      </c>
      <c r="D37" s="268"/>
      <c r="E37" s="261">
        <v>108</v>
      </c>
      <c r="F37" s="41">
        <v>30</v>
      </c>
      <c r="G37" s="162">
        <v>112</v>
      </c>
      <c r="I37" s="262">
        <f t="shared" si="0"/>
        <v>4</v>
      </c>
      <c r="J37" s="178">
        <f t="shared" si="1"/>
        <v>1.037037037037037</v>
      </c>
      <c r="K37" s="700">
        <f>J37-J86</f>
        <v>-8.8697639705196396E-2</v>
      </c>
      <c r="N37" s="10" t="s">
        <v>43</v>
      </c>
      <c r="O37" s="36" t="s">
        <v>44</v>
      </c>
      <c r="Q37" s="191">
        <f t="shared" si="2"/>
        <v>82</v>
      </c>
      <c r="R37" s="264">
        <f t="shared" si="3"/>
        <v>3.7333333333333334</v>
      </c>
      <c r="S37" s="685">
        <f>R37-R86</f>
        <v>1.402100992537854</v>
      </c>
      <c r="U37" s="203">
        <v>108</v>
      </c>
      <c r="V37" s="294">
        <v>108</v>
      </c>
      <c r="W37" s="359">
        <v>114</v>
      </c>
      <c r="X37" s="294">
        <v>115</v>
      </c>
      <c r="Y37" s="202">
        <v>115</v>
      </c>
      <c r="Z37" s="31"/>
      <c r="AA37" s="131" t="s">
        <v>44</v>
      </c>
      <c r="AB37" s="220">
        <f t="shared" si="4"/>
        <v>0</v>
      </c>
      <c r="AC37" s="726">
        <f t="shared" si="5"/>
        <v>1</v>
      </c>
      <c r="AD37" s="394">
        <f t="shared" si="6"/>
        <v>6</v>
      </c>
      <c r="AE37" s="726">
        <f t="shared" si="7"/>
        <v>1.0555555555555556</v>
      </c>
      <c r="AF37" s="306">
        <f t="shared" si="8"/>
        <v>1</v>
      </c>
      <c r="AG37" s="306">
        <f t="shared" si="9"/>
        <v>0</v>
      </c>
      <c r="AH37" s="302">
        <f t="shared" si="10"/>
        <v>7</v>
      </c>
      <c r="AI37" s="672">
        <f t="shared" si="11"/>
        <v>1.0648148148148149</v>
      </c>
    </row>
    <row r="38" spans="2:35" s="3" customFormat="1" ht="14" x14ac:dyDescent="0.3">
      <c r="B38" s="10" t="s">
        <v>43</v>
      </c>
      <c r="C38" s="36" t="s">
        <v>45</v>
      </c>
      <c r="D38" s="268"/>
      <c r="E38" s="261">
        <v>98</v>
      </c>
      <c r="F38" s="263">
        <v>98</v>
      </c>
      <c r="G38" s="162">
        <v>102</v>
      </c>
      <c r="I38" s="262">
        <f t="shared" si="0"/>
        <v>4</v>
      </c>
      <c r="J38" s="178">
        <f t="shared" si="1"/>
        <v>1.0408163265306123</v>
      </c>
      <c r="K38" s="700">
        <f>J38-J86</f>
        <v>-8.4918350211621085E-2</v>
      </c>
      <c r="N38" s="10" t="s">
        <v>43</v>
      </c>
      <c r="O38" s="36" t="s">
        <v>45</v>
      </c>
      <c r="Q38" s="191">
        <f t="shared" si="2"/>
        <v>4</v>
      </c>
      <c r="R38" s="264">
        <f t="shared" si="3"/>
        <v>1.0408163265306123</v>
      </c>
      <c r="S38" s="693">
        <f>R38-R86</f>
        <v>-1.2904160142648671</v>
      </c>
      <c r="U38" s="203">
        <v>98</v>
      </c>
      <c r="V38" s="294">
        <v>98</v>
      </c>
      <c r="W38" s="359">
        <v>96</v>
      </c>
      <c r="X38" s="294">
        <v>97</v>
      </c>
      <c r="Y38" s="202">
        <v>110</v>
      </c>
      <c r="Z38" s="31"/>
      <c r="AA38" s="131" t="s">
        <v>45</v>
      </c>
      <c r="AB38" s="220">
        <f t="shared" si="4"/>
        <v>0</v>
      </c>
      <c r="AC38" s="726">
        <f t="shared" si="5"/>
        <v>1</v>
      </c>
      <c r="AD38" s="394">
        <f t="shared" si="6"/>
        <v>-2</v>
      </c>
      <c r="AE38" s="733">
        <f t="shared" si="7"/>
        <v>0.97959183673469385</v>
      </c>
      <c r="AF38" s="306">
        <f t="shared" si="8"/>
        <v>1</v>
      </c>
      <c r="AG38" s="306">
        <f t="shared" si="9"/>
        <v>13</v>
      </c>
      <c r="AH38" s="302">
        <f t="shared" si="10"/>
        <v>12</v>
      </c>
      <c r="AI38" s="675">
        <f t="shared" si="11"/>
        <v>1.1224489795918366</v>
      </c>
    </row>
    <row r="39" spans="2:35" s="3" customFormat="1" ht="14" x14ac:dyDescent="0.3">
      <c r="B39" s="10" t="s">
        <v>43</v>
      </c>
      <c r="C39" s="36" t="s">
        <v>46</v>
      </c>
      <c r="D39" s="268"/>
      <c r="E39" s="261">
        <v>0</v>
      </c>
      <c r="F39" s="41">
        <v>0</v>
      </c>
      <c r="G39" s="162">
        <v>1</v>
      </c>
      <c r="I39" s="262">
        <f t="shared" si="0"/>
        <v>1</v>
      </c>
      <c r="J39" s="388" t="s">
        <v>270</v>
      </c>
      <c r="K39" s="389" t="s">
        <v>270</v>
      </c>
      <c r="N39" s="10" t="s">
        <v>43</v>
      </c>
      <c r="O39" s="36" t="s">
        <v>46</v>
      </c>
      <c r="Q39" s="191">
        <f t="shared" si="2"/>
        <v>1</v>
      </c>
      <c r="R39" s="264" t="s">
        <v>165</v>
      </c>
      <c r="S39" s="299" t="s">
        <v>270</v>
      </c>
      <c r="U39" s="203">
        <v>0</v>
      </c>
      <c r="V39" s="294">
        <v>0</v>
      </c>
      <c r="W39" s="359">
        <v>0</v>
      </c>
      <c r="X39" s="294">
        <v>0</v>
      </c>
      <c r="Y39" s="202">
        <v>1</v>
      </c>
      <c r="Z39" s="31"/>
      <c r="AA39" s="131" t="s">
        <v>46</v>
      </c>
      <c r="AB39" s="310" t="s">
        <v>286</v>
      </c>
      <c r="AC39" s="305" t="s">
        <v>261</v>
      </c>
      <c r="AD39" s="394">
        <f t="shared" si="6"/>
        <v>0</v>
      </c>
      <c r="AE39" s="305" t="s">
        <v>261</v>
      </c>
      <c r="AF39" s="306">
        <f t="shared" si="8"/>
        <v>0</v>
      </c>
      <c r="AG39" s="306">
        <f t="shared" si="9"/>
        <v>1</v>
      </c>
      <c r="AH39" s="302">
        <f t="shared" si="10"/>
        <v>1</v>
      </c>
      <c r="AI39" s="311" t="s">
        <v>261</v>
      </c>
    </row>
    <row r="40" spans="2:35" s="3" customFormat="1" ht="14" x14ac:dyDescent="0.3">
      <c r="B40" s="10" t="s">
        <v>47</v>
      </c>
      <c r="C40" s="36" t="s">
        <v>48</v>
      </c>
      <c r="D40" s="268"/>
      <c r="E40" s="261">
        <v>38</v>
      </c>
      <c r="F40" s="41">
        <v>13</v>
      </c>
      <c r="G40" s="162">
        <v>38</v>
      </c>
      <c r="I40" s="262">
        <f t="shared" si="0"/>
        <v>0</v>
      </c>
      <c r="J40" s="178">
        <f t="shared" si="1"/>
        <v>1</v>
      </c>
      <c r="K40" s="701">
        <f>J40-J86</f>
        <v>-0.12573467674223338</v>
      </c>
      <c r="N40" s="10" t="s">
        <v>47</v>
      </c>
      <c r="O40" s="36" t="s">
        <v>48</v>
      </c>
      <c r="Q40" s="191">
        <f t="shared" si="2"/>
        <v>25</v>
      </c>
      <c r="R40" s="264">
        <f t="shared" si="3"/>
        <v>2.9230769230769229</v>
      </c>
      <c r="S40" s="685">
        <f>R40-R86</f>
        <v>0.59184458228144354</v>
      </c>
      <c r="U40" s="203">
        <v>38</v>
      </c>
      <c r="V40" s="294">
        <v>42</v>
      </c>
      <c r="W40" s="359">
        <v>40</v>
      </c>
      <c r="X40" s="294">
        <v>37</v>
      </c>
      <c r="Y40" s="202">
        <v>39</v>
      </c>
      <c r="Z40" s="31"/>
      <c r="AA40" s="131" t="s">
        <v>48</v>
      </c>
      <c r="AB40" s="220">
        <f t="shared" si="4"/>
        <v>4</v>
      </c>
      <c r="AC40" s="730">
        <f t="shared" si="5"/>
        <v>1.1052631578947369</v>
      </c>
      <c r="AD40" s="394">
        <f t="shared" si="6"/>
        <v>-2</v>
      </c>
      <c r="AE40" s="733">
        <f t="shared" si="7"/>
        <v>0.95238095238095233</v>
      </c>
      <c r="AF40" s="306">
        <f t="shared" si="8"/>
        <v>-3</v>
      </c>
      <c r="AG40" s="306">
        <f t="shared" si="9"/>
        <v>2</v>
      </c>
      <c r="AH40" s="302">
        <f t="shared" si="10"/>
        <v>1</v>
      </c>
      <c r="AI40" s="672">
        <f t="shared" si="11"/>
        <v>1.0263157894736843</v>
      </c>
    </row>
    <row r="41" spans="2:35" s="3" customFormat="1" ht="14" x14ac:dyDescent="0.3">
      <c r="B41" s="10" t="s">
        <v>47</v>
      </c>
      <c r="C41" s="36" t="s">
        <v>49</v>
      </c>
      <c r="D41" s="268"/>
      <c r="E41" s="261">
        <v>41</v>
      </c>
      <c r="F41" s="41">
        <v>25</v>
      </c>
      <c r="G41" s="162">
        <v>47</v>
      </c>
      <c r="I41" s="262">
        <f t="shared" si="0"/>
        <v>6</v>
      </c>
      <c r="J41" s="178">
        <f t="shared" si="1"/>
        <v>1.1463414634146341</v>
      </c>
      <c r="K41" s="696">
        <f>J41-J86</f>
        <v>2.0606786672400679E-2</v>
      </c>
      <c r="N41" s="10" t="s">
        <v>47</v>
      </c>
      <c r="O41" s="36" t="s">
        <v>49</v>
      </c>
      <c r="Q41" s="191">
        <f t="shared" si="2"/>
        <v>22</v>
      </c>
      <c r="R41" s="264">
        <f t="shared" si="3"/>
        <v>1.88</v>
      </c>
      <c r="S41" s="693">
        <f>R41-R86</f>
        <v>-0.45123234079547947</v>
      </c>
      <c r="U41" s="203">
        <v>41</v>
      </c>
      <c r="V41" s="294">
        <v>43</v>
      </c>
      <c r="W41" s="359">
        <v>44</v>
      </c>
      <c r="X41" s="294">
        <v>47</v>
      </c>
      <c r="Y41" s="202">
        <v>56</v>
      </c>
      <c r="Z41" s="31"/>
      <c r="AA41" s="131" t="s">
        <v>49</v>
      </c>
      <c r="AB41" s="220">
        <f t="shared" si="4"/>
        <v>2</v>
      </c>
      <c r="AC41" s="726">
        <f t="shared" si="5"/>
        <v>1.0487804878048781</v>
      </c>
      <c r="AD41" s="394">
        <f t="shared" si="6"/>
        <v>1</v>
      </c>
      <c r="AE41" s="726">
        <f t="shared" si="7"/>
        <v>1.0232558139534884</v>
      </c>
      <c r="AF41" s="306">
        <f t="shared" si="8"/>
        <v>3</v>
      </c>
      <c r="AG41" s="306">
        <f t="shared" si="9"/>
        <v>9</v>
      </c>
      <c r="AH41" s="302">
        <f t="shared" si="10"/>
        <v>15</v>
      </c>
      <c r="AI41" s="670">
        <f t="shared" si="11"/>
        <v>1.3658536585365855</v>
      </c>
    </row>
    <row r="42" spans="2:35" s="3" customFormat="1" ht="14" x14ac:dyDescent="0.3">
      <c r="B42" s="10" t="s">
        <v>47</v>
      </c>
      <c r="C42" s="36" t="s">
        <v>50</v>
      </c>
      <c r="D42" s="268"/>
      <c r="E42" s="261">
        <v>43</v>
      </c>
      <c r="F42" s="41">
        <v>16</v>
      </c>
      <c r="G42" s="162">
        <v>50</v>
      </c>
      <c r="I42" s="262">
        <f t="shared" si="0"/>
        <v>7</v>
      </c>
      <c r="J42" s="178">
        <f t="shared" si="1"/>
        <v>1.1627906976744187</v>
      </c>
      <c r="K42" s="696">
        <f>J42-J86</f>
        <v>3.7056020932185296E-2</v>
      </c>
      <c r="N42" s="10" t="s">
        <v>47</v>
      </c>
      <c r="O42" s="36" t="s">
        <v>50</v>
      </c>
      <c r="Q42" s="191">
        <f t="shared" si="2"/>
        <v>34</v>
      </c>
      <c r="R42" s="264">
        <f t="shared" si="3"/>
        <v>3.125</v>
      </c>
      <c r="S42" s="685">
        <f>R42-R86</f>
        <v>0.79376765920452064</v>
      </c>
      <c r="U42" s="203">
        <v>43</v>
      </c>
      <c r="V42" s="294">
        <v>46</v>
      </c>
      <c r="W42" s="360">
        <v>46</v>
      </c>
      <c r="X42" s="294">
        <v>47</v>
      </c>
      <c r="Y42" s="375">
        <v>48</v>
      </c>
      <c r="Z42" s="155"/>
      <c r="AA42" s="131" t="s">
        <v>50</v>
      </c>
      <c r="AB42" s="220">
        <f t="shared" si="4"/>
        <v>3</v>
      </c>
      <c r="AC42" s="726">
        <f t="shared" si="5"/>
        <v>1.069767441860465</v>
      </c>
      <c r="AD42" s="394">
        <f t="shared" si="6"/>
        <v>0</v>
      </c>
      <c r="AE42" s="726">
        <f t="shared" si="7"/>
        <v>1</v>
      </c>
      <c r="AF42" s="306">
        <f t="shared" si="8"/>
        <v>1</v>
      </c>
      <c r="AG42" s="306">
        <f t="shared" si="9"/>
        <v>1</v>
      </c>
      <c r="AH42" s="302">
        <f t="shared" si="10"/>
        <v>5</v>
      </c>
      <c r="AI42" s="675">
        <f t="shared" si="11"/>
        <v>1.1162790697674418</v>
      </c>
    </row>
    <row r="43" spans="2:35" s="3" customFormat="1" ht="14" x14ac:dyDescent="0.3">
      <c r="B43" s="10" t="s">
        <v>47</v>
      </c>
      <c r="C43" s="36" t="s">
        <v>51</v>
      </c>
      <c r="D43" s="268"/>
      <c r="E43" s="261">
        <v>126</v>
      </c>
      <c r="F43" s="41">
        <v>69</v>
      </c>
      <c r="G43" s="162">
        <v>124</v>
      </c>
      <c r="I43" s="262">
        <f t="shared" si="0"/>
        <v>-2</v>
      </c>
      <c r="J43" s="178">
        <f t="shared" si="1"/>
        <v>0.98412698412698407</v>
      </c>
      <c r="K43" s="701">
        <f>J43-J86</f>
        <v>-0.1416076926152493</v>
      </c>
      <c r="N43" s="10" t="s">
        <v>47</v>
      </c>
      <c r="O43" s="36" t="s">
        <v>51</v>
      </c>
      <c r="Q43" s="191">
        <f t="shared" si="2"/>
        <v>55</v>
      </c>
      <c r="R43" s="264">
        <f>G43/F43</f>
        <v>1.7971014492753623</v>
      </c>
      <c r="S43" s="693">
        <f>R43-R86</f>
        <v>-0.53413089152011706</v>
      </c>
      <c r="U43" s="203">
        <v>126</v>
      </c>
      <c r="V43" s="294">
        <v>133</v>
      </c>
      <c r="W43" s="360">
        <v>137</v>
      </c>
      <c r="X43" s="294">
        <v>129</v>
      </c>
      <c r="Y43" s="375">
        <v>126</v>
      </c>
      <c r="Z43" s="155"/>
      <c r="AA43" s="131" t="s">
        <v>51</v>
      </c>
      <c r="AB43" s="220">
        <f t="shared" si="4"/>
        <v>7</v>
      </c>
      <c r="AC43" s="726">
        <f t="shared" si="5"/>
        <v>1.0555555555555556</v>
      </c>
      <c r="AD43" s="394">
        <f t="shared" si="6"/>
        <v>4</v>
      </c>
      <c r="AE43" s="726">
        <f t="shared" si="7"/>
        <v>1.0300751879699248</v>
      </c>
      <c r="AF43" s="306">
        <f t="shared" si="8"/>
        <v>-8</v>
      </c>
      <c r="AG43" s="306">
        <f t="shared" si="9"/>
        <v>-3</v>
      </c>
      <c r="AH43" s="302">
        <f t="shared" si="10"/>
        <v>0</v>
      </c>
      <c r="AI43" s="675">
        <f t="shared" si="11"/>
        <v>1</v>
      </c>
    </row>
    <row r="44" spans="2:35" s="3" customFormat="1" ht="14" x14ac:dyDescent="0.3">
      <c r="B44" s="10" t="s">
        <v>47</v>
      </c>
      <c r="C44" s="36" t="s">
        <v>52</v>
      </c>
      <c r="D44" s="268"/>
      <c r="E44" s="261">
        <v>123</v>
      </c>
      <c r="F44" s="41">
        <v>122</v>
      </c>
      <c r="G44" s="162">
        <v>154</v>
      </c>
      <c r="I44" s="262">
        <f t="shared" si="0"/>
        <v>31</v>
      </c>
      <c r="J44" s="178">
        <f t="shared" si="1"/>
        <v>1.2520325203252032</v>
      </c>
      <c r="K44" s="698">
        <f>J44-J86</f>
        <v>0.1262978435829698</v>
      </c>
      <c r="N44" s="10" t="s">
        <v>47</v>
      </c>
      <c r="O44" s="36" t="s">
        <v>52</v>
      </c>
      <c r="Q44" s="191">
        <f t="shared" si="2"/>
        <v>32</v>
      </c>
      <c r="R44" s="264">
        <f t="shared" si="3"/>
        <v>1.2622950819672132</v>
      </c>
      <c r="S44" s="693">
        <f>R44-R86</f>
        <v>-1.0689372588282662</v>
      </c>
      <c r="U44" s="203">
        <v>123</v>
      </c>
      <c r="V44" s="294">
        <v>133</v>
      </c>
      <c r="W44" s="359">
        <v>145</v>
      </c>
      <c r="X44" s="294">
        <v>143</v>
      </c>
      <c r="Y44" s="202">
        <v>157</v>
      </c>
      <c r="Z44" s="31"/>
      <c r="AA44" s="131" t="s">
        <v>52</v>
      </c>
      <c r="AB44" s="220">
        <f t="shared" si="4"/>
        <v>10</v>
      </c>
      <c r="AC44" s="726">
        <f t="shared" si="5"/>
        <v>1.0813008130081301</v>
      </c>
      <c r="AD44" s="394">
        <f t="shared" si="6"/>
        <v>12</v>
      </c>
      <c r="AE44" s="726">
        <f t="shared" si="7"/>
        <v>1.0902255639097744</v>
      </c>
      <c r="AF44" s="306">
        <f t="shared" si="8"/>
        <v>-2</v>
      </c>
      <c r="AG44" s="306">
        <f t="shared" si="9"/>
        <v>14</v>
      </c>
      <c r="AH44" s="302">
        <f t="shared" si="10"/>
        <v>34</v>
      </c>
      <c r="AI44" s="676">
        <f t="shared" si="11"/>
        <v>1.2764227642276422</v>
      </c>
    </row>
    <row r="45" spans="2:35" s="3" customFormat="1" ht="14" x14ac:dyDescent="0.3">
      <c r="B45" s="10" t="s">
        <v>47</v>
      </c>
      <c r="C45" s="36" t="s">
        <v>53</v>
      </c>
      <c r="D45" s="268"/>
      <c r="E45" s="261">
        <v>69</v>
      </c>
      <c r="F45" s="41">
        <v>14</v>
      </c>
      <c r="G45" s="162">
        <v>74</v>
      </c>
      <c r="I45" s="262">
        <f t="shared" si="0"/>
        <v>5</v>
      </c>
      <c r="J45" s="178">
        <f t="shared" si="1"/>
        <v>1.0724637681159421</v>
      </c>
      <c r="K45" s="700">
        <f>J45-J86</f>
        <v>-5.3270908626291247E-2</v>
      </c>
      <c r="N45" s="10" t="s">
        <v>47</v>
      </c>
      <c r="O45" s="36" t="s">
        <v>53</v>
      </c>
      <c r="Q45" s="191">
        <f t="shared" si="2"/>
        <v>60</v>
      </c>
      <c r="R45" s="264">
        <f t="shared" si="3"/>
        <v>5.2857142857142856</v>
      </c>
      <c r="S45" s="685">
        <f>R45-R86</f>
        <v>2.9544819449188062</v>
      </c>
      <c r="U45" s="203">
        <v>69</v>
      </c>
      <c r="V45" s="294">
        <v>68</v>
      </c>
      <c r="W45" s="359">
        <v>73</v>
      </c>
      <c r="X45" s="294">
        <v>71</v>
      </c>
      <c r="Y45" s="202">
        <v>76</v>
      </c>
      <c r="Z45" s="31"/>
      <c r="AA45" s="131" t="s">
        <v>53</v>
      </c>
      <c r="AB45" s="220">
        <f t="shared" si="4"/>
        <v>-1</v>
      </c>
      <c r="AC45" s="733">
        <f t="shared" si="5"/>
        <v>0.98550724637681164</v>
      </c>
      <c r="AD45" s="394">
        <f t="shared" si="6"/>
        <v>5</v>
      </c>
      <c r="AE45" s="726">
        <f t="shared" si="7"/>
        <v>1.0735294117647058</v>
      </c>
      <c r="AF45" s="306">
        <f t="shared" si="8"/>
        <v>-2</v>
      </c>
      <c r="AG45" s="306">
        <f t="shared" si="9"/>
        <v>5</v>
      </c>
      <c r="AH45" s="302">
        <f t="shared" si="10"/>
        <v>7</v>
      </c>
      <c r="AI45" s="675">
        <f t="shared" si="11"/>
        <v>1.1014492753623188</v>
      </c>
    </row>
    <row r="46" spans="2:35" s="3" customFormat="1" ht="14" x14ac:dyDescent="0.3">
      <c r="B46" s="10" t="s">
        <v>47</v>
      </c>
      <c r="C46" s="36" t="s">
        <v>54</v>
      </c>
      <c r="D46" s="268"/>
      <c r="E46" s="261">
        <v>70</v>
      </c>
      <c r="F46" s="41">
        <v>54</v>
      </c>
      <c r="G46" s="162">
        <v>77</v>
      </c>
      <c r="I46" s="262">
        <f t="shared" si="0"/>
        <v>7</v>
      </c>
      <c r="J46" s="178">
        <f t="shared" si="1"/>
        <v>1.1000000000000001</v>
      </c>
      <c r="K46" s="700">
        <f>J46-J86</f>
        <v>-2.5734676742233287E-2</v>
      </c>
      <c r="N46" s="10" t="s">
        <v>47</v>
      </c>
      <c r="O46" s="36" t="s">
        <v>54</v>
      </c>
      <c r="Q46" s="191">
        <f t="shared" si="2"/>
        <v>23</v>
      </c>
      <c r="R46" s="264">
        <f t="shared" si="3"/>
        <v>1.4259259259259258</v>
      </c>
      <c r="S46" s="693">
        <f>R46-R86</f>
        <v>-0.90530641486955354</v>
      </c>
      <c r="U46" s="203">
        <v>70</v>
      </c>
      <c r="V46" s="294">
        <v>71</v>
      </c>
      <c r="W46" s="359">
        <v>67</v>
      </c>
      <c r="X46" s="294">
        <v>78</v>
      </c>
      <c r="Y46" s="202">
        <v>77</v>
      </c>
      <c r="Z46" s="31"/>
      <c r="AA46" s="131" t="s">
        <v>54</v>
      </c>
      <c r="AB46" s="220">
        <f t="shared" si="4"/>
        <v>1</v>
      </c>
      <c r="AC46" s="726">
        <f t="shared" si="5"/>
        <v>1.0142857142857142</v>
      </c>
      <c r="AD46" s="394">
        <f t="shared" si="6"/>
        <v>-4</v>
      </c>
      <c r="AE46" s="733">
        <f t="shared" si="7"/>
        <v>0.94366197183098588</v>
      </c>
      <c r="AF46" s="306">
        <f t="shared" si="8"/>
        <v>11</v>
      </c>
      <c r="AG46" s="306">
        <f t="shared" si="9"/>
        <v>-1</v>
      </c>
      <c r="AH46" s="302">
        <f t="shared" si="10"/>
        <v>7</v>
      </c>
      <c r="AI46" s="675">
        <f t="shared" si="11"/>
        <v>1.1000000000000001</v>
      </c>
    </row>
    <row r="47" spans="2:35" s="3" customFormat="1" ht="14" x14ac:dyDescent="0.3">
      <c r="B47" s="10" t="s">
        <v>47</v>
      </c>
      <c r="C47" s="36" t="s">
        <v>55</v>
      </c>
      <c r="D47" s="268"/>
      <c r="E47" s="261">
        <v>72</v>
      </c>
      <c r="F47" s="41">
        <v>45</v>
      </c>
      <c r="G47" s="162">
        <v>84</v>
      </c>
      <c r="I47" s="262">
        <f t="shared" si="0"/>
        <v>12</v>
      </c>
      <c r="J47" s="178">
        <f t="shared" si="1"/>
        <v>1.1666666666666667</v>
      </c>
      <c r="K47" s="696">
        <f>J47-J86</f>
        <v>4.0931989924433365E-2</v>
      </c>
      <c r="N47" s="10" t="s">
        <v>47</v>
      </c>
      <c r="O47" s="36" t="s">
        <v>55</v>
      </c>
      <c r="Q47" s="191">
        <f t="shared" si="2"/>
        <v>39</v>
      </c>
      <c r="R47" s="264">
        <f t="shared" si="3"/>
        <v>1.8666666666666667</v>
      </c>
      <c r="S47" s="693">
        <f>R47-R86</f>
        <v>-0.46456567412881267</v>
      </c>
      <c r="U47" s="203">
        <v>72</v>
      </c>
      <c r="V47" s="294">
        <v>48</v>
      </c>
      <c r="W47" s="359">
        <v>73</v>
      </c>
      <c r="X47" s="294">
        <v>67</v>
      </c>
      <c r="Y47" s="202">
        <v>79</v>
      </c>
      <c r="Z47" s="31"/>
      <c r="AA47" s="131" t="s">
        <v>55</v>
      </c>
      <c r="AB47" s="220">
        <f t="shared" si="4"/>
        <v>-24</v>
      </c>
      <c r="AC47" s="740">
        <f t="shared" si="5"/>
        <v>0.66666666666666663</v>
      </c>
      <c r="AD47" s="394">
        <f t="shared" si="6"/>
        <v>25</v>
      </c>
      <c r="AE47" s="727">
        <f t="shared" si="7"/>
        <v>1.5208333333333333</v>
      </c>
      <c r="AF47" s="306">
        <f t="shared" si="8"/>
        <v>-6</v>
      </c>
      <c r="AG47" s="306">
        <f t="shared" si="9"/>
        <v>12</v>
      </c>
      <c r="AH47" s="302">
        <f t="shared" si="10"/>
        <v>7</v>
      </c>
      <c r="AI47" s="675">
        <f t="shared" si="11"/>
        <v>1.0972222222222223</v>
      </c>
    </row>
    <row r="48" spans="2:35" s="3" customFormat="1" ht="14" x14ac:dyDescent="0.3">
      <c r="B48" s="10" t="s">
        <v>56</v>
      </c>
      <c r="C48" s="36" t="s">
        <v>57</v>
      </c>
      <c r="D48" s="268"/>
      <c r="E48" s="261">
        <v>89</v>
      </c>
      <c r="F48" s="41">
        <v>54</v>
      </c>
      <c r="G48" s="162">
        <v>95</v>
      </c>
      <c r="I48" s="262">
        <f t="shared" si="0"/>
        <v>6</v>
      </c>
      <c r="J48" s="178">
        <f t="shared" si="1"/>
        <v>1.0674157303370786</v>
      </c>
      <c r="K48" s="700">
        <f>J48-J86</f>
        <v>-5.8318946405154781E-2</v>
      </c>
      <c r="N48" s="10" t="s">
        <v>56</v>
      </c>
      <c r="O48" s="36" t="s">
        <v>57</v>
      </c>
      <c r="Q48" s="191">
        <f t="shared" si="2"/>
        <v>41</v>
      </c>
      <c r="R48" s="264">
        <f t="shared" si="3"/>
        <v>1.7592592592592593</v>
      </c>
      <c r="S48" s="693">
        <f>R48-R86</f>
        <v>-0.57197308153622006</v>
      </c>
      <c r="U48" s="203">
        <v>89</v>
      </c>
      <c r="V48" s="294">
        <v>89</v>
      </c>
      <c r="W48" s="359">
        <v>91</v>
      </c>
      <c r="X48" s="294">
        <v>91</v>
      </c>
      <c r="Y48" s="202">
        <v>90</v>
      </c>
      <c r="Z48" s="31"/>
      <c r="AA48" s="131" t="s">
        <v>57</v>
      </c>
      <c r="AB48" s="220">
        <f t="shared" si="4"/>
        <v>0</v>
      </c>
      <c r="AC48" s="726">
        <f t="shared" si="5"/>
        <v>1</v>
      </c>
      <c r="AD48" s="394">
        <f t="shared" si="6"/>
        <v>2</v>
      </c>
      <c r="AE48" s="726">
        <f t="shared" si="7"/>
        <v>1.0224719101123596</v>
      </c>
      <c r="AF48" s="306">
        <f t="shared" si="8"/>
        <v>0</v>
      </c>
      <c r="AG48" s="306">
        <f t="shared" si="9"/>
        <v>-1</v>
      </c>
      <c r="AH48" s="302">
        <f t="shared" si="10"/>
        <v>1</v>
      </c>
      <c r="AI48" s="672">
        <f t="shared" si="11"/>
        <v>1.0112359550561798</v>
      </c>
    </row>
    <row r="49" spans="2:35" s="3" customFormat="1" ht="14" x14ac:dyDescent="0.3">
      <c r="B49" s="10" t="s">
        <v>56</v>
      </c>
      <c r="C49" s="36" t="s">
        <v>58</v>
      </c>
      <c r="D49" s="268"/>
      <c r="E49" s="261">
        <v>162</v>
      </c>
      <c r="F49" s="3">
        <v>49</v>
      </c>
      <c r="G49" s="162">
        <v>181</v>
      </c>
      <c r="I49" s="262">
        <f t="shared" si="0"/>
        <v>19</v>
      </c>
      <c r="J49" s="178">
        <f t="shared" si="1"/>
        <v>1.117283950617284</v>
      </c>
      <c r="K49" s="700">
        <f>J49-J86</f>
        <v>-8.4507261249493482E-3</v>
      </c>
      <c r="N49" s="10" t="s">
        <v>56</v>
      </c>
      <c r="O49" s="36" t="s">
        <v>58</v>
      </c>
      <c r="Q49" s="191">
        <f t="shared" si="2"/>
        <v>132</v>
      </c>
      <c r="R49" s="264">
        <f t="shared" si="3"/>
        <v>3.693877551020408</v>
      </c>
      <c r="S49" s="685">
        <f>R49-R86</f>
        <v>1.3626452102249287</v>
      </c>
      <c r="U49" s="203">
        <v>162</v>
      </c>
      <c r="V49" s="294">
        <v>168</v>
      </c>
      <c r="W49" s="359">
        <v>171</v>
      </c>
      <c r="X49" s="294">
        <v>177</v>
      </c>
      <c r="Y49" s="202">
        <v>186</v>
      </c>
      <c r="Z49" s="31"/>
      <c r="AA49" s="131" t="s">
        <v>58</v>
      </c>
      <c r="AB49" s="220">
        <f t="shared" si="4"/>
        <v>6</v>
      </c>
      <c r="AC49" s="726">
        <f t="shared" si="5"/>
        <v>1.037037037037037</v>
      </c>
      <c r="AD49" s="394">
        <f t="shared" si="6"/>
        <v>3</v>
      </c>
      <c r="AE49" s="726">
        <f t="shared" si="7"/>
        <v>1.0178571428571428</v>
      </c>
      <c r="AF49" s="306">
        <f t="shared" si="8"/>
        <v>6</v>
      </c>
      <c r="AG49" s="306">
        <f t="shared" si="9"/>
        <v>9</v>
      </c>
      <c r="AH49" s="302">
        <f t="shared" si="10"/>
        <v>24</v>
      </c>
      <c r="AI49" s="675">
        <f t="shared" si="11"/>
        <v>1.1481481481481481</v>
      </c>
    </row>
    <row r="50" spans="2:35" s="3" customFormat="1" ht="14" x14ac:dyDescent="0.3">
      <c r="B50" s="10" t="s">
        <v>56</v>
      </c>
      <c r="C50" s="36" t="s">
        <v>59</v>
      </c>
      <c r="D50" s="268"/>
      <c r="E50" s="261">
        <v>94</v>
      </c>
      <c r="F50" s="41">
        <v>44</v>
      </c>
      <c r="G50" s="162">
        <v>114</v>
      </c>
      <c r="I50" s="262">
        <f t="shared" si="0"/>
        <v>20</v>
      </c>
      <c r="J50" s="178">
        <f t="shared" si="1"/>
        <v>1.2127659574468086</v>
      </c>
      <c r="K50" s="696">
        <f>J50-J86</f>
        <v>8.703128070457522E-2</v>
      </c>
      <c r="N50" s="10" t="s">
        <v>56</v>
      </c>
      <c r="O50" s="36" t="s">
        <v>59</v>
      </c>
      <c r="Q50" s="191">
        <f t="shared" si="2"/>
        <v>70</v>
      </c>
      <c r="R50" s="264">
        <f t="shared" si="3"/>
        <v>2.5909090909090908</v>
      </c>
      <c r="S50" s="689">
        <f>R50-R86</f>
        <v>0.25967675011361147</v>
      </c>
      <c r="U50" s="203">
        <v>94</v>
      </c>
      <c r="V50" s="294">
        <v>101</v>
      </c>
      <c r="W50" s="359">
        <v>101</v>
      </c>
      <c r="X50" s="294">
        <v>110</v>
      </c>
      <c r="Y50" s="202">
        <v>98</v>
      </c>
      <c r="Z50" s="31"/>
      <c r="AA50" s="131" t="s">
        <v>59</v>
      </c>
      <c r="AB50" s="220">
        <f t="shared" si="4"/>
        <v>7</v>
      </c>
      <c r="AC50" s="726">
        <f t="shared" si="5"/>
        <v>1.074468085106383</v>
      </c>
      <c r="AD50" s="394">
        <f t="shared" si="6"/>
        <v>0</v>
      </c>
      <c r="AE50" s="726">
        <f t="shared" si="7"/>
        <v>1</v>
      </c>
      <c r="AF50" s="306">
        <f t="shared" si="8"/>
        <v>9</v>
      </c>
      <c r="AG50" s="306">
        <f t="shared" si="9"/>
        <v>-12</v>
      </c>
      <c r="AH50" s="302">
        <f t="shared" si="10"/>
        <v>4</v>
      </c>
      <c r="AI50" s="672">
        <f t="shared" si="11"/>
        <v>1.0425531914893618</v>
      </c>
    </row>
    <row r="51" spans="2:35" s="3" customFormat="1" ht="14" x14ac:dyDescent="0.3">
      <c r="B51" s="10" t="s">
        <v>60</v>
      </c>
      <c r="C51" s="36" t="s">
        <v>61</v>
      </c>
      <c r="D51" s="268"/>
      <c r="E51" s="261">
        <v>52</v>
      </c>
      <c r="F51" s="41">
        <v>33</v>
      </c>
      <c r="G51" s="162">
        <v>59</v>
      </c>
      <c r="I51" s="262">
        <f t="shared" si="0"/>
        <v>7</v>
      </c>
      <c r="J51" s="178">
        <f t="shared" si="1"/>
        <v>1.1346153846153846</v>
      </c>
      <c r="K51" s="696">
        <f>J51-J86</f>
        <v>8.8807078731512057E-3</v>
      </c>
      <c r="N51" s="10" t="s">
        <v>60</v>
      </c>
      <c r="O51" s="36" t="s">
        <v>61</v>
      </c>
      <c r="Q51" s="191">
        <f t="shared" si="2"/>
        <v>26</v>
      </c>
      <c r="R51" s="264">
        <f t="shared" si="3"/>
        <v>1.7878787878787878</v>
      </c>
      <c r="S51" s="693">
        <f>R51-R86</f>
        <v>-0.54335355291669152</v>
      </c>
      <c r="U51" s="203">
        <v>52</v>
      </c>
      <c r="V51" s="294">
        <v>54</v>
      </c>
      <c r="W51" s="360">
        <v>57</v>
      </c>
      <c r="X51" s="294">
        <v>54</v>
      </c>
      <c r="Y51" s="202">
        <v>55</v>
      </c>
      <c r="Z51" s="31"/>
      <c r="AA51" s="131" t="s">
        <v>61</v>
      </c>
      <c r="AB51" s="220">
        <f t="shared" si="4"/>
        <v>2</v>
      </c>
      <c r="AC51" s="726">
        <f t="shared" si="5"/>
        <v>1.0384615384615385</v>
      </c>
      <c r="AD51" s="394">
        <f t="shared" si="6"/>
        <v>3</v>
      </c>
      <c r="AE51" s="726">
        <f t="shared" si="7"/>
        <v>1.0555555555555556</v>
      </c>
      <c r="AF51" s="306">
        <f t="shared" si="8"/>
        <v>-3</v>
      </c>
      <c r="AG51" s="306">
        <f t="shared" si="9"/>
        <v>1</v>
      </c>
      <c r="AH51" s="302">
        <f t="shared" si="10"/>
        <v>3</v>
      </c>
      <c r="AI51" s="672">
        <f t="shared" si="11"/>
        <v>1.0576923076923077</v>
      </c>
    </row>
    <row r="52" spans="2:35" s="3" customFormat="1" ht="14" x14ac:dyDescent="0.3">
      <c r="B52" s="10" t="s">
        <v>60</v>
      </c>
      <c r="C52" s="36" t="s">
        <v>62</v>
      </c>
      <c r="D52" s="268"/>
      <c r="E52" s="261">
        <v>3</v>
      </c>
      <c r="F52" s="41">
        <v>2</v>
      </c>
      <c r="G52" s="162">
        <v>3</v>
      </c>
      <c r="I52" s="262">
        <f t="shared" si="0"/>
        <v>0</v>
      </c>
      <c r="J52" s="178">
        <f t="shared" si="1"/>
        <v>1</v>
      </c>
      <c r="K52" s="701">
        <f>J52-J86</f>
        <v>-0.12573467674223338</v>
      </c>
      <c r="N52" s="10" t="s">
        <v>60</v>
      </c>
      <c r="O52" s="36" t="s">
        <v>62</v>
      </c>
      <c r="Q52" s="191">
        <f t="shared" si="2"/>
        <v>1</v>
      </c>
      <c r="R52" s="264">
        <f t="shared" si="3"/>
        <v>1.5</v>
      </c>
      <c r="S52" s="693">
        <f>R52-R86</f>
        <v>-0.83123234079547936</v>
      </c>
      <c r="U52" s="203">
        <v>3</v>
      </c>
      <c r="V52" s="294">
        <v>4</v>
      </c>
      <c r="W52" s="360">
        <v>4</v>
      </c>
      <c r="X52" s="294">
        <v>1</v>
      </c>
      <c r="Y52" s="202">
        <v>2</v>
      </c>
      <c r="Z52" s="31"/>
      <c r="AA52" s="131" t="s">
        <v>62</v>
      </c>
      <c r="AB52" s="220">
        <f t="shared" si="4"/>
        <v>1</v>
      </c>
      <c r="AC52" s="727">
        <f t="shared" si="5"/>
        <v>1.3333333333333333</v>
      </c>
      <c r="AD52" s="394">
        <f t="shared" si="6"/>
        <v>0</v>
      </c>
      <c r="AE52" s="726">
        <f t="shared" si="7"/>
        <v>1</v>
      </c>
      <c r="AF52" s="306">
        <f t="shared" si="8"/>
        <v>-3</v>
      </c>
      <c r="AG52" s="306">
        <f t="shared" si="9"/>
        <v>1</v>
      </c>
      <c r="AH52" s="302">
        <f t="shared" si="10"/>
        <v>-1</v>
      </c>
      <c r="AI52" s="681">
        <f t="shared" si="11"/>
        <v>0.66666666666666663</v>
      </c>
    </row>
    <row r="53" spans="2:35" s="3" customFormat="1" ht="14" x14ac:dyDescent="0.3">
      <c r="B53" s="10" t="s">
        <v>60</v>
      </c>
      <c r="C53" s="36" t="s">
        <v>63</v>
      </c>
      <c r="D53" s="268"/>
      <c r="E53" s="261">
        <v>69</v>
      </c>
      <c r="F53" s="41">
        <v>38</v>
      </c>
      <c r="G53" s="162">
        <v>77</v>
      </c>
      <c r="I53" s="262">
        <f t="shared" si="0"/>
        <v>8</v>
      </c>
      <c r="J53" s="178">
        <f t="shared" si="1"/>
        <v>1.1159420289855073</v>
      </c>
      <c r="K53" s="700">
        <f>J53-J86</f>
        <v>-9.7926477567260584E-3</v>
      </c>
      <c r="N53" s="10" t="s">
        <v>60</v>
      </c>
      <c r="O53" s="36" t="s">
        <v>63</v>
      </c>
      <c r="Q53" s="191">
        <f t="shared" si="2"/>
        <v>39</v>
      </c>
      <c r="R53" s="264">
        <f t="shared" si="3"/>
        <v>2.0263157894736841</v>
      </c>
      <c r="S53" s="692">
        <f>R53-R86</f>
        <v>-0.30491655132179529</v>
      </c>
      <c r="U53" s="203">
        <v>69</v>
      </c>
      <c r="V53" s="294">
        <v>71</v>
      </c>
      <c r="W53" s="360">
        <v>70</v>
      </c>
      <c r="X53" s="294">
        <v>72</v>
      </c>
      <c r="Y53" s="202">
        <v>79</v>
      </c>
      <c r="Z53" s="31"/>
      <c r="AA53" s="131" t="s">
        <v>63</v>
      </c>
      <c r="AB53" s="220">
        <f t="shared" si="4"/>
        <v>2</v>
      </c>
      <c r="AC53" s="726">
        <f t="shared" si="5"/>
        <v>1.0289855072463767</v>
      </c>
      <c r="AD53" s="394">
        <f t="shared" si="6"/>
        <v>-1</v>
      </c>
      <c r="AE53" s="733">
        <f t="shared" si="7"/>
        <v>0.9859154929577465</v>
      </c>
      <c r="AF53" s="306">
        <f t="shared" si="8"/>
        <v>2</v>
      </c>
      <c r="AG53" s="306">
        <f t="shared" si="9"/>
        <v>7</v>
      </c>
      <c r="AH53" s="302">
        <f t="shared" si="10"/>
        <v>10</v>
      </c>
      <c r="AI53" s="675">
        <f t="shared" si="11"/>
        <v>1.144927536231884</v>
      </c>
    </row>
    <row r="54" spans="2:35" s="3" customFormat="1" ht="14" x14ac:dyDescent="0.3">
      <c r="B54" s="10" t="s">
        <v>60</v>
      </c>
      <c r="C54" s="36" t="s">
        <v>64</v>
      </c>
      <c r="D54" s="268"/>
      <c r="E54" s="261">
        <v>103</v>
      </c>
      <c r="F54" s="41">
        <v>40</v>
      </c>
      <c r="G54" s="162">
        <v>115</v>
      </c>
      <c r="I54" s="262">
        <f t="shared" si="0"/>
        <v>12</v>
      </c>
      <c r="J54" s="178">
        <f t="shared" si="1"/>
        <v>1.116504854368932</v>
      </c>
      <c r="K54" s="700">
        <f>J54-J86</f>
        <v>-9.2298223733013884E-3</v>
      </c>
      <c r="N54" s="10" t="s">
        <v>60</v>
      </c>
      <c r="O54" s="36" t="s">
        <v>64</v>
      </c>
      <c r="Q54" s="191">
        <f t="shared" si="2"/>
        <v>75</v>
      </c>
      <c r="R54" s="264">
        <f t="shared" si="3"/>
        <v>2.875</v>
      </c>
      <c r="S54" s="685">
        <f>R54-R86</f>
        <v>0.54376765920452064</v>
      </c>
      <c r="U54" s="203">
        <v>103</v>
      </c>
      <c r="V54" s="294">
        <v>107</v>
      </c>
      <c r="W54" s="360">
        <v>107</v>
      </c>
      <c r="X54" s="294">
        <v>113</v>
      </c>
      <c r="Y54" s="202">
        <v>120</v>
      </c>
      <c r="Z54" s="31"/>
      <c r="AA54" s="131" t="s">
        <v>64</v>
      </c>
      <c r="AB54" s="220">
        <f t="shared" si="4"/>
        <v>4</v>
      </c>
      <c r="AC54" s="726">
        <f t="shared" si="5"/>
        <v>1.0388349514563107</v>
      </c>
      <c r="AD54" s="394">
        <f t="shared" si="6"/>
        <v>0</v>
      </c>
      <c r="AE54" s="726">
        <f t="shared" si="7"/>
        <v>1</v>
      </c>
      <c r="AF54" s="306">
        <f t="shared" si="8"/>
        <v>6</v>
      </c>
      <c r="AG54" s="306">
        <f t="shared" si="9"/>
        <v>7</v>
      </c>
      <c r="AH54" s="302">
        <f t="shared" si="10"/>
        <v>17</v>
      </c>
      <c r="AI54" s="675">
        <f t="shared" si="11"/>
        <v>1.1650485436893203</v>
      </c>
    </row>
    <row r="55" spans="2:35" s="3" customFormat="1" ht="14" x14ac:dyDescent="0.3">
      <c r="B55" s="10" t="s">
        <v>60</v>
      </c>
      <c r="C55" s="36" t="s">
        <v>65</v>
      </c>
      <c r="D55" s="268"/>
      <c r="E55" s="261">
        <v>481</v>
      </c>
      <c r="F55" s="41">
        <v>120</v>
      </c>
      <c r="G55" s="162">
        <v>517</v>
      </c>
      <c r="I55" s="262">
        <f t="shared" si="0"/>
        <v>36</v>
      </c>
      <c r="J55" s="178">
        <f t="shared" si="1"/>
        <v>1.0748440748440748</v>
      </c>
      <c r="K55" s="700">
        <f>J55-J86</f>
        <v>-5.0890601898158527E-2</v>
      </c>
      <c r="N55" s="10" t="s">
        <v>60</v>
      </c>
      <c r="O55" s="36" t="s">
        <v>65</v>
      </c>
      <c r="Q55" s="191">
        <f t="shared" si="2"/>
        <v>397</v>
      </c>
      <c r="R55" s="264">
        <f t="shared" si="3"/>
        <v>4.3083333333333336</v>
      </c>
      <c r="S55" s="685">
        <f>R55-R86</f>
        <v>1.9771009925378542</v>
      </c>
      <c r="U55" s="203">
        <v>481</v>
      </c>
      <c r="V55" s="294">
        <v>508</v>
      </c>
      <c r="W55" s="360">
        <v>512</v>
      </c>
      <c r="X55" s="294">
        <v>502</v>
      </c>
      <c r="Y55" s="202">
        <v>493</v>
      </c>
      <c r="Z55" s="31"/>
      <c r="AA55" s="131" t="s">
        <v>65</v>
      </c>
      <c r="AB55" s="220">
        <f t="shared" si="4"/>
        <v>27</v>
      </c>
      <c r="AC55" s="726">
        <f t="shared" si="5"/>
        <v>1.0561330561330562</v>
      </c>
      <c r="AD55" s="394">
        <f t="shared" si="6"/>
        <v>4</v>
      </c>
      <c r="AE55" s="726">
        <f t="shared" si="7"/>
        <v>1.0078740157480315</v>
      </c>
      <c r="AF55" s="306">
        <f t="shared" si="8"/>
        <v>-10</v>
      </c>
      <c r="AG55" s="306">
        <f t="shared" si="9"/>
        <v>-9</v>
      </c>
      <c r="AH55" s="302">
        <f t="shared" si="10"/>
        <v>12</v>
      </c>
      <c r="AI55" s="672">
        <f t="shared" si="11"/>
        <v>1.0249480249480249</v>
      </c>
    </row>
    <row r="56" spans="2:35" s="3" customFormat="1" ht="14" x14ac:dyDescent="0.3">
      <c r="B56" s="10" t="s">
        <v>60</v>
      </c>
      <c r="C56" s="36" t="s">
        <v>66</v>
      </c>
      <c r="D56" s="268"/>
      <c r="E56" s="261">
        <v>58</v>
      </c>
      <c r="F56" s="41">
        <v>62</v>
      </c>
      <c r="G56" s="162">
        <v>69</v>
      </c>
      <c r="I56" s="262">
        <f t="shared" si="0"/>
        <v>11</v>
      </c>
      <c r="J56" s="178">
        <f t="shared" si="1"/>
        <v>1.1896551724137931</v>
      </c>
      <c r="K56" s="696">
        <f>J56-J86</f>
        <v>6.3920495671559774E-2</v>
      </c>
      <c r="N56" s="10" t="s">
        <v>60</v>
      </c>
      <c r="O56" s="36" t="s">
        <v>66</v>
      </c>
      <c r="Q56" s="191">
        <f t="shared" si="2"/>
        <v>7</v>
      </c>
      <c r="R56" s="264">
        <f t="shared" si="3"/>
        <v>1.1129032258064515</v>
      </c>
      <c r="S56" s="693">
        <f>R56-R86</f>
        <v>-1.2183291149890279</v>
      </c>
      <c r="U56" s="203">
        <v>58</v>
      </c>
      <c r="V56" s="294">
        <v>64</v>
      </c>
      <c r="W56" s="360">
        <v>69</v>
      </c>
      <c r="X56" s="294">
        <v>66</v>
      </c>
      <c r="Y56" s="202">
        <v>76</v>
      </c>
      <c r="Z56" s="31"/>
      <c r="AA56" s="131" t="s">
        <v>66</v>
      </c>
      <c r="AB56" s="220">
        <f t="shared" si="4"/>
        <v>6</v>
      </c>
      <c r="AC56" s="730">
        <f t="shared" si="5"/>
        <v>1.103448275862069</v>
      </c>
      <c r="AD56" s="394">
        <f t="shared" si="6"/>
        <v>5</v>
      </c>
      <c r="AE56" s="726">
        <f t="shared" si="7"/>
        <v>1.078125</v>
      </c>
      <c r="AF56" s="306">
        <f t="shared" si="8"/>
        <v>-3</v>
      </c>
      <c r="AG56" s="306">
        <f t="shared" si="9"/>
        <v>10</v>
      </c>
      <c r="AH56" s="302">
        <f t="shared" si="10"/>
        <v>18</v>
      </c>
      <c r="AI56" s="670">
        <f t="shared" si="11"/>
        <v>1.3103448275862069</v>
      </c>
    </row>
    <row r="57" spans="2:35" s="3" customFormat="1" ht="14" x14ac:dyDescent="0.3">
      <c r="B57" s="10" t="s">
        <v>60</v>
      </c>
      <c r="C57" s="36" t="s">
        <v>67</v>
      </c>
      <c r="D57" s="268"/>
      <c r="E57" s="261">
        <v>84</v>
      </c>
      <c r="F57" s="41">
        <v>39</v>
      </c>
      <c r="G57" s="162">
        <v>80</v>
      </c>
      <c r="I57" s="262">
        <f t="shared" si="0"/>
        <v>-4</v>
      </c>
      <c r="J57" s="178">
        <f t="shared" si="1"/>
        <v>0.95238095238095233</v>
      </c>
      <c r="K57" s="701">
        <f>J57-J86</f>
        <v>-0.17335372436128105</v>
      </c>
      <c r="N57" s="10" t="s">
        <v>60</v>
      </c>
      <c r="O57" s="36" t="s">
        <v>67</v>
      </c>
      <c r="Q57" s="191">
        <f t="shared" si="2"/>
        <v>41</v>
      </c>
      <c r="R57" s="264">
        <f t="shared" si="3"/>
        <v>2.0512820512820511</v>
      </c>
      <c r="S57" s="692">
        <f>R57-R86</f>
        <v>-0.27995028951342826</v>
      </c>
      <c r="U57" s="203">
        <v>84</v>
      </c>
      <c r="V57" s="294">
        <v>88</v>
      </c>
      <c r="W57" s="360">
        <v>83</v>
      </c>
      <c r="X57" s="294">
        <v>84</v>
      </c>
      <c r="Y57" s="202">
        <v>93</v>
      </c>
      <c r="Z57" s="31"/>
      <c r="AA57" s="131" t="s">
        <v>67</v>
      </c>
      <c r="AB57" s="220">
        <f t="shared" si="4"/>
        <v>4</v>
      </c>
      <c r="AC57" s="726">
        <f t="shared" si="5"/>
        <v>1.0476190476190477</v>
      </c>
      <c r="AD57" s="394">
        <f t="shared" si="6"/>
        <v>-5</v>
      </c>
      <c r="AE57" s="733">
        <f t="shared" si="7"/>
        <v>0.94318181818181823</v>
      </c>
      <c r="AF57" s="306">
        <f t="shared" si="8"/>
        <v>1</v>
      </c>
      <c r="AG57" s="306">
        <f t="shared" si="9"/>
        <v>9</v>
      </c>
      <c r="AH57" s="302">
        <f t="shared" si="10"/>
        <v>9</v>
      </c>
      <c r="AI57" s="675">
        <f t="shared" si="11"/>
        <v>1.1071428571428572</v>
      </c>
    </row>
    <row r="58" spans="2:35" s="3" customFormat="1" ht="15.5" x14ac:dyDescent="0.35">
      <c r="B58" s="10" t="s">
        <v>68</v>
      </c>
      <c r="C58" s="36" t="s">
        <v>69</v>
      </c>
      <c r="D58" s="268"/>
      <c r="E58" s="261">
        <v>58</v>
      </c>
      <c r="F58" s="277">
        <v>53</v>
      </c>
      <c r="G58" s="162">
        <v>74</v>
      </c>
      <c r="I58" s="262">
        <f t="shared" si="0"/>
        <v>16</v>
      </c>
      <c r="J58" s="178">
        <f t="shared" si="1"/>
        <v>1.2758620689655173</v>
      </c>
      <c r="K58" s="698">
        <f>J58-J86</f>
        <v>0.15012739222328397</v>
      </c>
      <c r="N58" s="10" t="s">
        <v>68</v>
      </c>
      <c r="O58" s="36" t="s">
        <v>69</v>
      </c>
      <c r="Q58" s="191">
        <f t="shared" si="2"/>
        <v>21</v>
      </c>
      <c r="R58" s="264">
        <f t="shared" si="3"/>
        <v>1.3962264150943395</v>
      </c>
      <c r="S58" s="693">
        <f>R58-R86</f>
        <v>-0.93500592570113983</v>
      </c>
      <c r="U58" s="203">
        <v>58</v>
      </c>
      <c r="V58" s="294">
        <v>60</v>
      </c>
      <c r="W58" s="359">
        <v>55</v>
      </c>
      <c r="X58" s="294">
        <v>56</v>
      </c>
      <c r="Y58" s="202">
        <v>59</v>
      </c>
      <c r="Z58" s="31"/>
      <c r="AA58" s="131" t="s">
        <v>69</v>
      </c>
      <c r="AB58" s="220">
        <f t="shared" si="4"/>
        <v>2</v>
      </c>
      <c r="AC58" s="726">
        <f t="shared" si="5"/>
        <v>1.0344827586206897</v>
      </c>
      <c r="AD58" s="394">
        <f t="shared" si="6"/>
        <v>-5</v>
      </c>
      <c r="AE58" s="733">
        <f t="shared" si="7"/>
        <v>0.91666666666666663</v>
      </c>
      <c r="AF58" s="306">
        <f t="shared" si="8"/>
        <v>1</v>
      </c>
      <c r="AG58" s="306">
        <f t="shared" si="9"/>
        <v>3</v>
      </c>
      <c r="AH58" s="302">
        <f t="shared" si="10"/>
        <v>1</v>
      </c>
      <c r="AI58" s="672">
        <f t="shared" si="11"/>
        <v>1.0172413793103448</v>
      </c>
    </row>
    <row r="59" spans="2:35" s="3" customFormat="1" ht="14" x14ac:dyDescent="0.3">
      <c r="B59" s="10" t="s">
        <v>68</v>
      </c>
      <c r="C59" s="36" t="s">
        <v>70</v>
      </c>
      <c r="D59" s="268"/>
      <c r="E59" s="261">
        <v>53</v>
      </c>
      <c r="F59" s="41">
        <v>41</v>
      </c>
      <c r="G59" s="162">
        <v>59</v>
      </c>
      <c r="I59" s="262">
        <f t="shared" si="0"/>
        <v>6</v>
      </c>
      <c r="J59" s="178">
        <f t="shared" si="1"/>
        <v>1.1132075471698113</v>
      </c>
      <c r="K59" s="700">
        <f>J59-J86</f>
        <v>-1.252712957242208E-2</v>
      </c>
      <c r="N59" s="10" t="s">
        <v>68</v>
      </c>
      <c r="O59" s="36" t="s">
        <v>70</v>
      </c>
      <c r="Q59" s="191">
        <f t="shared" si="2"/>
        <v>18</v>
      </c>
      <c r="R59" s="264">
        <f t="shared" si="3"/>
        <v>1.4390243902439024</v>
      </c>
      <c r="S59" s="693">
        <f>R59-R86</f>
        <v>-0.89220795055157698</v>
      </c>
      <c r="U59" s="203">
        <v>53</v>
      </c>
      <c r="V59" s="294">
        <v>55</v>
      </c>
      <c r="W59" s="359">
        <v>55</v>
      </c>
      <c r="X59" s="294">
        <v>54</v>
      </c>
      <c r="Y59" s="202">
        <v>57</v>
      </c>
      <c r="Z59" s="31"/>
      <c r="AA59" s="131" t="s">
        <v>70</v>
      </c>
      <c r="AB59" s="220">
        <f t="shared" si="4"/>
        <v>2</v>
      </c>
      <c r="AC59" s="726">
        <f t="shared" si="5"/>
        <v>1.0377358490566038</v>
      </c>
      <c r="AD59" s="394">
        <f t="shared" si="6"/>
        <v>0</v>
      </c>
      <c r="AE59" s="726">
        <f t="shared" si="7"/>
        <v>1</v>
      </c>
      <c r="AF59" s="306">
        <f t="shared" si="8"/>
        <v>-1</v>
      </c>
      <c r="AG59" s="306">
        <f t="shared" si="9"/>
        <v>3</v>
      </c>
      <c r="AH59" s="302">
        <f t="shared" si="10"/>
        <v>4</v>
      </c>
      <c r="AI59" s="672">
        <f t="shared" si="11"/>
        <v>1.0754716981132075</v>
      </c>
    </row>
    <row r="60" spans="2:35" s="3" customFormat="1" ht="14" x14ac:dyDescent="0.3">
      <c r="B60" s="10" t="s">
        <v>68</v>
      </c>
      <c r="C60" s="36" t="s">
        <v>71</v>
      </c>
      <c r="D60" s="268"/>
      <c r="E60" s="261">
        <v>86</v>
      </c>
      <c r="F60" s="41">
        <v>48</v>
      </c>
      <c r="G60" s="162">
        <v>107</v>
      </c>
      <c r="I60" s="262">
        <f t="shared" si="0"/>
        <v>21</v>
      </c>
      <c r="J60" s="178">
        <f t="shared" si="1"/>
        <v>1.2441860465116279</v>
      </c>
      <c r="K60" s="698">
        <f>J60-J86</f>
        <v>0.11845136976939452</v>
      </c>
      <c r="N60" s="10" t="s">
        <v>68</v>
      </c>
      <c r="O60" s="36" t="s">
        <v>71</v>
      </c>
      <c r="Q60" s="191">
        <f t="shared" si="2"/>
        <v>59</v>
      </c>
      <c r="R60" s="264">
        <f t="shared" si="3"/>
        <v>2.2291666666666665</v>
      </c>
      <c r="S60" s="690">
        <f>R60-R86</f>
        <v>-0.10206567412881284</v>
      </c>
      <c r="U60" s="203">
        <v>86</v>
      </c>
      <c r="V60" s="294">
        <v>95</v>
      </c>
      <c r="W60" s="359">
        <v>105</v>
      </c>
      <c r="X60" s="294">
        <v>103</v>
      </c>
      <c r="Y60" s="202">
        <v>106</v>
      </c>
      <c r="Z60" s="31"/>
      <c r="AA60" s="131" t="s">
        <v>71</v>
      </c>
      <c r="AB60" s="220">
        <f t="shared" si="4"/>
        <v>9</v>
      </c>
      <c r="AC60" s="730">
        <f t="shared" si="5"/>
        <v>1.1046511627906976</v>
      </c>
      <c r="AD60" s="394">
        <f t="shared" si="6"/>
        <v>10</v>
      </c>
      <c r="AE60" s="730">
        <f t="shared" si="7"/>
        <v>1.1052631578947369</v>
      </c>
      <c r="AF60" s="306">
        <f t="shared" si="8"/>
        <v>-2</v>
      </c>
      <c r="AG60" s="306">
        <f t="shared" si="9"/>
        <v>3</v>
      </c>
      <c r="AH60" s="302">
        <f t="shared" si="10"/>
        <v>20</v>
      </c>
      <c r="AI60" s="678">
        <f t="shared" si="11"/>
        <v>1.2325581395348837</v>
      </c>
    </row>
    <row r="61" spans="2:35" s="3" customFormat="1" ht="14" x14ac:dyDescent="0.3">
      <c r="B61" s="10" t="s">
        <v>68</v>
      </c>
      <c r="C61" s="36" t="s">
        <v>72</v>
      </c>
      <c r="D61" s="268"/>
      <c r="E61" s="261">
        <v>131</v>
      </c>
      <c r="F61" s="41">
        <v>97</v>
      </c>
      <c r="G61" s="162">
        <v>140</v>
      </c>
      <c r="I61" s="262">
        <f t="shared" si="0"/>
        <v>9</v>
      </c>
      <c r="J61" s="178">
        <f t="shared" si="1"/>
        <v>1.0687022900763359</v>
      </c>
      <c r="K61" s="700">
        <f>J61-J86</f>
        <v>-5.7032386665897494E-2</v>
      </c>
      <c r="N61" s="10" t="s">
        <v>68</v>
      </c>
      <c r="O61" s="36" t="s">
        <v>72</v>
      </c>
      <c r="Q61" s="191">
        <f t="shared" si="2"/>
        <v>43</v>
      </c>
      <c r="R61" s="264">
        <f t="shared" si="3"/>
        <v>1.4432989690721649</v>
      </c>
      <c r="S61" s="693">
        <f>R61-R86</f>
        <v>-0.88793337172331444</v>
      </c>
      <c r="U61" s="203">
        <v>131</v>
      </c>
      <c r="V61" s="294">
        <v>129</v>
      </c>
      <c r="W61" s="359">
        <v>135</v>
      </c>
      <c r="X61" s="294">
        <v>135</v>
      </c>
      <c r="Y61" s="202">
        <v>143</v>
      </c>
      <c r="Z61" s="31"/>
      <c r="AA61" s="131" t="s">
        <v>72</v>
      </c>
      <c r="AB61" s="220">
        <f t="shared" si="4"/>
        <v>-2</v>
      </c>
      <c r="AC61" s="733">
        <f t="shared" si="5"/>
        <v>0.98473282442748089</v>
      </c>
      <c r="AD61" s="394">
        <f t="shared" si="6"/>
        <v>6</v>
      </c>
      <c r="AE61" s="726">
        <f t="shared" si="7"/>
        <v>1.0465116279069768</v>
      </c>
      <c r="AF61" s="306">
        <f t="shared" si="8"/>
        <v>0</v>
      </c>
      <c r="AG61" s="306">
        <f t="shared" si="9"/>
        <v>8</v>
      </c>
      <c r="AH61" s="302">
        <f t="shared" si="10"/>
        <v>12</v>
      </c>
      <c r="AI61" s="672">
        <f t="shared" si="11"/>
        <v>1.0916030534351144</v>
      </c>
    </row>
    <row r="62" spans="2:35" s="3" customFormat="1" ht="14" x14ac:dyDescent="0.3">
      <c r="B62" s="10" t="s">
        <v>73</v>
      </c>
      <c r="C62" s="36" t="s">
        <v>74</v>
      </c>
      <c r="D62" s="268"/>
      <c r="E62" s="261">
        <v>29</v>
      </c>
      <c r="F62" s="41">
        <v>29</v>
      </c>
      <c r="G62" s="162">
        <v>28</v>
      </c>
      <c r="I62" s="262">
        <f t="shared" si="0"/>
        <v>-1</v>
      </c>
      <c r="J62" s="178">
        <f t="shared" si="1"/>
        <v>0.96551724137931039</v>
      </c>
      <c r="K62" s="701">
        <f>J62-J86</f>
        <v>-0.16021743536292299</v>
      </c>
      <c r="N62" s="10" t="s">
        <v>73</v>
      </c>
      <c r="O62" s="36" t="s">
        <v>74</v>
      </c>
      <c r="Q62" s="191">
        <f t="shared" si="2"/>
        <v>-1</v>
      </c>
      <c r="R62" s="264">
        <f t="shared" si="3"/>
        <v>0.96551724137931039</v>
      </c>
      <c r="S62" s="693">
        <f>R62-R86</f>
        <v>-1.3657150994161689</v>
      </c>
      <c r="U62" s="203">
        <v>29</v>
      </c>
      <c r="V62" s="294">
        <v>31</v>
      </c>
      <c r="W62" s="359">
        <v>29</v>
      </c>
      <c r="X62" s="294">
        <v>26</v>
      </c>
      <c r="Y62" s="202">
        <v>28</v>
      </c>
      <c r="Z62" s="31"/>
      <c r="AA62" s="131" t="s">
        <v>74</v>
      </c>
      <c r="AB62" s="220">
        <f t="shared" si="4"/>
        <v>2</v>
      </c>
      <c r="AC62" s="726">
        <f t="shared" si="5"/>
        <v>1.0689655172413792</v>
      </c>
      <c r="AD62" s="394">
        <f t="shared" si="6"/>
        <v>-2</v>
      </c>
      <c r="AE62" s="733">
        <f t="shared" si="7"/>
        <v>0.93548387096774188</v>
      </c>
      <c r="AF62" s="306">
        <f t="shared" si="8"/>
        <v>-3</v>
      </c>
      <c r="AG62" s="306">
        <f t="shared" si="9"/>
        <v>2</v>
      </c>
      <c r="AH62" s="302">
        <f t="shared" si="10"/>
        <v>-1</v>
      </c>
      <c r="AI62" s="679">
        <f t="shared" si="11"/>
        <v>0.96551724137931039</v>
      </c>
    </row>
    <row r="63" spans="2:35" s="3" customFormat="1" ht="14" x14ac:dyDescent="0.3">
      <c r="B63" s="12" t="s">
        <v>73</v>
      </c>
      <c r="C63" s="36" t="s">
        <v>75</v>
      </c>
      <c r="D63" s="268"/>
      <c r="E63" s="261">
        <v>0</v>
      </c>
      <c r="F63" s="41">
        <v>0</v>
      </c>
      <c r="G63" s="162">
        <v>0</v>
      </c>
      <c r="I63" s="390" t="s">
        <v>159</v>
      </c>
      <c r="J63" s="178" t="s">
        <v>159</v>
      </c>
      <c r="K63" s="389" t="s">
        <v>159</v>
      </c>
      <c r="N63" s="12" t="s">
        <v>73</v>
      </c>
      <c r="O63" s="36" t="s">
        <v>75</v>
      </c>
      <c r="Q63" s="682" t="s">
        <v>159</v>
      </c>
      <c r="R63" s="264" t="s">
        <v>159</v>
      </c>
      <c r="S63" s="683" t="s">
        <v>159</v>
      </c>
      <c r="U63" s="203">
        <v>0</v>
      </c>
      <c r="V63" s="294">
        <v>0</v>
      </c>
      <c r="W63" s="359">
        <v>0</v>
      </c>
      <c r="X63" s="294">
        <v>0</v>
      </c>
      <c r="Y63" s="202">
        <v>0</v>
      </c>
      <c r="Z63" s="31"/>
      <c r="AA63" s="131" t="s">
        <v>75</v>
      </c>
      <c r="AB63" s="310" t="s">
        <v>296</v>
      </c>
      <c r="AC63" s="305" t="s">
        <v>261</v>
      </c>
      <c r="AD63" s="394">
        <f t="shared" si="6"/>
        <v>0</v>
      </c>
      <c r="AE63" s="305" t="s">
        <v>261</v>
      </c>
      <c r="AF63" s="306">
        <f t="shared" si="8"/>
        <v>0</v>
      </c>
      <c r="AG63" s="399" t="s">
        <v>261</v>
      </c>
      <c r="AH63" s="305" t="s">
        <v>286</v>
      </c>
      <c r="AI63" s="311" t="s">
        <v>261</v>
      </c>
    </row>
    <row r="64" spans="2:35" s="3" customFormat="1" ht="14" x14ac:dyDescent="0.3">
      <c r="B64" s="12" t="s">
        <v>73</v>
      </c>
      <c r="C64" s="36" t="s">
        <v>76</v>
      </c>
      <c r="D64" s="268"/>
      <c r="E64" s="261">
        <v>334</v>
      </c>
      <c r="F64" s="41">
        <v>60</v>
      </c>
      <c r="G64" s="162">
        <v>334</v>
      </c>
      <c r="I64" s="262">
        <f t="shared" si="0"/>
        <v>0</v>
      </c>
      <c r="J64" s="178">
        <f t="shared" si="1"/>
        <v>1</v>
      </c>
      <c r="K64" s="701">
        <f>J64-J86</f>
        <v>-0.12573467674223338</v>
      </c>
      <c r="N64" s="12" t="s">
        <v>73</v>
      </c>
      <c r="O64" s="36" t="s">
        <v>76</v>
      </c>
      <c r="Q64" s="191">
        <f t="shared" si="2"/>
        <v>274</v>
      </c>
      <c r="R64" s="264">
        <f t="shared" si="3"/>
        <v>5.5666666666666664</v>
      </c>
      <c r="S64" s="685">
        <f>R64-R86</f>
        <v>3.2354343258711871</v>
      </c>
      <c r="U64" s="203">
        <v>334</v>
      </c>
      <c r="V64" s="294">
        <v>335</v>
      </c>
      <c r="W64" s="359">
        <v>334</v>
      </c>
      <c r="X64" s="294">
        <v>331</v>
      </c>
      <c r="Y64" s="202">
        <v>338</v>
      </c>
      <c r="Z64" s="31"/>
      <c r="AA64" s="131" t="s">
        <v>76</v>
      </c>
      <c r="AB64" s="220">
        <f t="shared" si="4"/>
        <v>1</v>
      </c>
      <c r="AC64" s="726">
        <f t="shared" si="5"/>
        <v>1.0029940119760479</v>
      </c>
      <c r="AD64" s="394">
        <f t="shared" si="6"/>
        <v>-1</v>
      </c>
      <c r="AE64" s="726">
        <f t="shared" si="7"/>
        <v>0.9970149253731343</v>
      </c>
      <c r="AF64" s="306">
        <f t="shared" si="8"/>
        <v>-3</v>
      </c>
      <c r="AG64" s="306">
        <f t="shared" si="9"/>
        <v>7</v>
      </c>
      <c r="AH64" s="302">
        <f t="shared" si="10"/>
        <v>4</v>
      </c>
      <c r="AI64" s="672">
        <f t="shared" si="11"/>
        <v>1.0119760479041917</v>
      </c>
    </row>
    <row r="65" spans="2:35" s="3" customFormat="1" ht="14" x14ac:dyDescent="0.3">
      <c r="B65" s="10" t="s">
        <v>77</v>
      </c>
      <c r="C65" s="36" t="s">
        <v>78</v>
      </c>
      <c r="D65" s="268"/>
      <c r="E65" s="261">
        <v>131</v>
      </c>
      <c r="F65" s="41">
        <v>69</v>
      </c>
      <c r="G65" s="162">
        <v>146</v>
      </c>
      <c r="I65" s="262">
        <f t="shared" si="0"/>
        <v>15</v>
      </c>
      <c r="J65" s="178">
        <f t="shared" si="1"/>
        <v>1.1145038167938932</v>
      </c>
      <c r="K65" s="700">
        <f>J65-J86</f>
        <v>-1.1230859948340166E-2</v>
      </c>
      <c r="N65" s="10" t="s">
        <v>77</v>
      </c>
      <c r="O65" s="36" t="s">
        <v>78</v>
      </c>
      <c r="Q65" s="191">
        <f t="shared" si="2"/>
        <v>77</v>
      </c>
      <c r="R65" s="264">
        <f t="shared" si="3"/>
        <v>2.1159420289855073</v>
      </c>
      <c r="S65" s="692">
        <f>R65-R86</f>
        <v>-0.21529031180997205</v>
      </c>
      <c r="U65" s="203">
        <v>131</v>
      </c>
      <c r="V65" s="294">
        <v>134</v>
      </c>
      <c r="W65" s="360">
        <v>138</v>
      </c>
      <c r="X65" s="294">
        <v>138</v>
      </c>
      <c r="Y65" s="202">
        <v>142</v>
      </c>
      <c r="Z65" s="31"/>
      <c r="AA65" s="131" t="s">
        <v>78</v>
      </c>
      <c r="AB65" s="220">
        <f t="shared" si="4"/>
        <v>3</v>
      </c>
      <c r="AC65" s="726">
        <f t="shared" si="5"/>
        <v>1.0229007633587786</v>
      </c>
      <c r="AD65" s="394">
        <f t="shared" si="6"/>
        <v>4</v>
      </c>
      <c r="AE65" s="726">
        <f t="shared" si="7"/>
        <v>1.0298507462686568</v>
      </c>
      <c r="AF65" s="306">
        <f t="shared" si="8"/>
        <v>0</v>
      </c>
      <c r="AG65" s="306">
        <f t="shared" si="9"/>
        <v>4</v>
      </c>
      <c r="AH65" s="302">
        <f t="shared" si="10"/>
        <v>11</v>
      </c>
      <c r="AI65" s="672">
        <f t="shared" si="11"/>
        <v>1.083969465648855</v>
      </c>
    </row>
    <row r="66" spans="2:35" s="3" customFormat="1" ht="14" x14ac:dyDescent="0.3">
      <c r="B66" s="10" t="s">
        <v>77</v>
      </c>
      <c r="C66" s="36" t="s">
        <v>79</v>
      </c>
      <c r="D66" s="268"/>
      <c r="E66" s="261">
        <v>58</v>
      </c>
      <c r="F66" s="3">
        <v>59</v>
      </c>
      <c r="G66" s="162">
        <v>73</v>
      </c>
      <c r="I66" s="266">
        <f t="shared" si="0"/>
        <v>15</v>
      </c>
      <c r="J66" s="385">
        <f t="shared" si="1"/>
        <v>1.2586206896551724</v>
      </c>
      <c r="K66" s="698">
        <f>J66-J86</f>
        <v>0.132886012912939</v>
      </c>
      <c r="N66" s="10" t="s">
        <v>77</v>
      </c>
      <c r="O66" s="36" t="s">
        <v>79</v>
      </c>
      <c r="Q66" s="191">
        <f t="shared" si="2"/>
        <v>14</v>
      </c>
      <c r="R66" s="264">
        <f t="shared" si="3"/>
        <v>1.2372881355932204</v>
      </c>
      <c r="S66" s="693">
        <f>R66-R86</f>
        <v>-1.093944205202259</v>
      </c>
      <c r="U66" s="203">
        <v>58</v>
      </c>
      <c r="V66" s="294">
        <v>63</v>
      </c>
      <c r="W66" s="360">
        <v>68</v>
      </c>
      <c r="X66" s="294">
        <v>69</v>
      </c>
      <c r="Y66" s="202">
        <v>72</v>
      </c>
      <c r="Z66" s="31"/>
      <c r="AA66" s="131" t="s">
        <v>79</v>
      </c>
      <c r="AB66" s="220">
        <f t="shared" si="4"/>
        <v>5</v>
      </c>
      <c r="AC66" s="726">
        <f t="shared" si="5"/>
        <v>1.0862068965517242</v>
      </c>
      <c r="AD66" s="394">
        <f t="shared" si="6"/>
        <v>5</v>
      </c>
      <c r="AE66" s="726">
        <f t="shared" si="7"/>
        <v>1.0793650793650793</v>
      </c>
      <c r="AF66" s="306">
        <f t="shared" si="8"/>
        <v>1</v>
      </c>
      <c r="AG66" s="306">
        <f t="shared" si="9"/>
        <v>3</v>
      </c>
      <c r="AH66" s="302">
        <f t="shared" si="10"/>
        <v>14</v>
      </c>
      <c r="AI66" s="676">
        <f t="shared" si="11"/>
        <v>1.2413793103448276</v>
      </c>
    </row>
    <row r="67" spans="2:35" s="3" customFormat="1" ht="14" x14ac:dyDescent="0.3">
      <c r="B67" s="10" t="s">
        <v>77</v>
      </c>
      <c r="C67" s="36" t="s">
        <v>80</v>
      </c>
      <c r="D67" s="268"/>
      <c r="E67" s="261">
        <v>38</v>
      </c>
      <c r="F67" s="41">
        <v>21</v>
      </c>
      <c r="G67" s="162">
        <v>40</v>
      </c>
      <c r="I67" s="386">
        <f t="shared" si="0"/>
        <v>2</v>
      </c>
      <c r="J67" s="387">
        <f t="shared" si="1"/>
        <v>1.0526315789473684</v>
      </c>
      <c r="K67" s="700">
        <f>J67-J86</f>
        <v>-7.3103097794865013E-2</v>
      </c>
      <c r="N67" s="10" t="s">
        <v>77</v>
      </c>
      <c r="O67" s="36" t="s">
        <v>80</v>
      </c>
      <c r="Q67" s="192">
        <f t="shared" si="2"/>
        <v>19</v>
      </c>
      <c r="R67" s="265">
        <f t="shared" si="3"/>
        <v>1.9047619047619047</v>
      </c>
      <c r="S67" s="694">
        <f>R67-R86</f>
        <v>-0.42647043603357471</v>
      </c>
      <c r="U67" s="203">
        <v>38</v>
      </c>
      <c r="V67" s="294">
        <v>38</v>
      </c>
      <c r="W67" s="360">
        <v>42</v>
      </c>
      <c r="X67" s="294">
        <v>41</v>
      </c>
      <c r="Y67" s="202">
        <v>38</v>
      </c>
      <c r="Z67" s="31"/>
      <c r="AA67" s="131" t="s">
        <v>80</v>
      </c>
      <c r="AB67" s="203">
        <f t="shared" si="4"/>
        <v>0</v>
      </c>
      <c r="AC67" s="728">
        <f t="shared" si="5"/>
        <v>1</v>
      </c>
      <c r="AD67" s="394">
        <f t="shared" si="6"/>
        <v>4</v>
      </c>
      <c r="AE67" s="730">
        <f t="shared" si="7"/>
        <v>1.1052631578947369</v>
      </c>
      <c r="AF67" s="306">
        <f t="shared" si="8"/>
        <v>-1</v>
      </c>
      <c r="AG67" s="261">
        <f t="shared" si="9"/>
        <v>-3</v>
      </c>
      <c r="AH67" s="294">
        <f t="shared" si="10"/>
        <v>0</v>
      </c>
      <c r="AI67" s="673">
        <f t="shared" si="11"/>
        <v>1</v>
      </c>
    </row>
    <row r="68" spans="2:35" s="3" customFormat="1" ht="14" x14ac:dyDescent="0.3">
      <c r="B68" s="10" t="s">
        <v>77</v>
      </c>
      <c r="C68" s="36" t="s">
        <v>81</v>
      </c>
      <c r="D68" s="268"/>
      <c r="E68" s="261">
        <v>19</v>
      </c>
      <c r="F68" s="41">
        <v>16</v>
      </c>
      <c r="G68" s="162">
        <v>29</v>
      </c>
      <c r="I68" s="262">
        <f t="shared" si="0"/>
        <v>10</v>
      </c>
      <c r="J68" s="178">
        <f t="shared" si="1"/>
        <v>1.5263157894736843</v>
      </c>
      <c r="K68" s="695">
        <f>J68-J86</f>
        <v>0.40058111273145092</v>
      </c>
      <c r="N68" s="10" t="s">
        <v>77</v>
      </c>
      <c r="O68" s="36" t="s">
        <v>81</v>
      </c>
      <c r="Q68" s="191">
        <f t="shared" si="2"/>
        <v>13</v>
      </c>
      <c r="R68" s="264">
        <f t="shared" si="3"/>
        <v>1.8125</v>
      </c>
      <c r="S68" s="693">
        <f>R68-R86</f>
        <v>-0.51873234079547936</v>
      </c>
      <c r="U68" s="203">
        <v>19</v>
      </c>
      <c r="V68" s="294">
        <v>22</v>
      </c>
      <c r="W68" s="359">
        <v>24</v>
      </c>
      <c r="X68" s="294">
        <v>27</v>
      </c>
      <c r="Y68" s="202">
        <v>30</v>
      </c>
      <c r="Z68" s="31"/>
      <c r="AA68" s="131" t="s">
        <v>81</v>
      </c>
      <c r="AB68" s="220">
        <f t="shared" si="4"/>
        <v>3</v>
      </c>
      <c r="AC68" s="730">
        <f t="shared" si="5"/>
        <v>1.1578947368421053</v>
      </c>
      <c r="AD68" s="394">
        <f t="shared" si="6"/>
        <v>2</v>
      </c>
      <c r="AE68" s="726">
        <f t="shared" si="7"/>
        <v>1.0909090909090908</v>
      </c>
      <c r="AF68" s="306">
        <f t="shared" si="8"/>
        <v>3</v>
      </c>
      <c r="AG68" s="306">
        <f t="shared" si="9"/>
        <v>3</v>
      </c>
      <c r="AH68" s="302">
        <f t="shared" si="10"/>
        <v>11</v>
      </c>
      <c r="AI68" s="670">
        <f t="shared" si="11"/>
        <v>1.5789473684210527</v>
      </c>
    </row>
    <row r="69" spans="2:35" s="3" customFormat="1" ht="14" x14ac:dyDescent="0.3">
      <c r="B69" s="10" t="s">
        <v>77</v>
      </c>
      <c r="C69" s="36" t="s">
        <v>82</v>
      </c>
      <c r="D69" s="268"/>
      <c r="E69" s="261">
        <v>22</v>
      </c>
      <c r="F69" s="41">
        <v>12</v>
      </c>
      <c r="G69" s="162">
        <v>23</v>
      </c>
      <c r="I69" s="386">
        <f t="shared" si="0"/>
        <v>1</v>
      </c>
      <c r="J69" s="387">
        <f t="shared" si="1"/>
        <v>1.0454545454545454</v>
      </c>
      <c r="K69" s="700">
        <f>J69-J86</f>
        <v>-8.0280131287687961E-2</v>
      </c>
      <c r="N69" s="10" t="s">
        <v>77</v>
      </c>
      <c r="O69" s="36" t="s">
        <v>82</v>
      </c>
      <c r="Q69" s="192">
        <f t="shared" si="2"/>
        <v>11</v>
      </c>
      <c r="R69" s="265">
        <f t="shared" si="3"/>
        <v>1.9166666666666667</v>
      </c>
      <c r="S69" s="694">
        <f>R69-R86</f>
        <v>-0.41456567412881262</v>
      </c>
      <c r="U69" s="203">
        <v>22</v>
      </c>
      <c r="V69" s="294">
        <v>23</v>
      </c>
      <c r="W69" s="359">
        <v>23</v>
      </c>
      <c r="X69" s="294">
        <v>24</v>
      </c>
      <c r="Y69" s="202">
        <v>27</v>
      </c>
      <c r="Z69" s="31"/>
      <c r="AA69" s="131" t="s">
        <v>82</v>
      </c>
      <c r="AB69" s="203">
        <f t="shared" si="4"/>
        <v>1</v>
      </c>
      <c r="AC69" s="728">
        <f t="shared" si="5"/>
        <v>1.0454545454545454</v>
      </c>
      <c r="AD69" s="394">
        <f t="shared" si="6"/>
        <v>0</v>
      </c>
      <c r="AE69" s="726">
        <f t="shared" si="7"/>
        <v>1</v>
      </c>
      <c r="AF69" s="306">
        <f t="shared" si="8"/>
        <v>1</v>
      </c>
      <c r="AG69" s="261">
        <f t="shared" si="9"/>
        <v>3</v>
      </c>
      <c r="AH69" s="294">
        <f t="shared" si="10"/>
        <v>5</v>
      </c>
      <c r="AI69" s="677">
        <f t="shared" si="11"/>
        <v>1.2272727272727273</v>
      </c>
    </row>
    <row r="70" spans="2:35" s="3" customFormat="1" ht="14" x14ac:dyDescent="0.3">
      <c r="B70" s="10" t="s">
        <v>77</v>
      </c>
      <c r="C70" s="36" t="s">
        <v>83</v>
      </c>
      <c r="D70" s="268"/>
      <c r="E70" s="261">
        <v>73</v>
      </c>
      <c r="F70" s="41">
        <v>48</v>
      </c>
      <c r="G70" s="162">
        <v>76</v>
      </c>
      <c r="I70" s="262">
        <f t="shared" si="0"/>
        <v>3</v>
      </c>
      <c r="J70" s="178">
        <f t="shared" si="1"/>
        <v>1.0410958904109588</v>
      </c>
      <c r="K70" s="700">
        <f>J70-J86</f>
        <v>-8.4638786331274529E-2</v>
      </c>
      <c r="N70" s="10" t="s">
        <v>77</v>
      </c>
      <c r="O70" s="36" t="s">
        <v>83</v>
      </c>
      <c r="Q70" s="191">
        <f t="shared" si="2"/>
        <v>28</v>
      </c>
      <c r="R70" s="264">
        <f t="shared" si="3"/>
        <v>1.5833333333333333</v>
      </c>
      <c r="S70" s="693">
        <f>R70-R86</f>
        <v>-0.7478990074621461</v>
      </c>
      <c r="U70" s="203">
        <v>73</v>
      </c>
      <c r="V70" s="294">
        <v>69</v>
      </c>
      <c r="W70" s="359">
        <v>69</v>
      </c>
      <c r="X70" s="294">
        <v>72</v>
      </c>
      <c r="Y70" s="202">
        <v>75</v>
      </c>
      <c r="Z70" s="31"/>
      <c r="AA70" s="131" t="s">
        <v>83</v>
      </c>
      <c r="AB70" s="220">
        <f t="shared" si="4"/>
        <v>-4</v>
      </c>
      <c r="AC70" s="733">
        <f t="shared" si="5"/>
        <v>0.9452054794520548</v>
      </c>
      <c r="AD70" s="394">
        <f t="shared" si="6"/>
        <v>0</v>
      </c>
      <c r="AE70" s="726">
        <f t="shared" si="7"/>
        <v>1</v>
      </c>
      <c r="AF70" s="306">
        <f t="shared" si="8"/>
        <v>3</v>
      </c>
      <c r="AG70" s="306">
        <f t="shared" si="9"/>
        <v>3</v>
      </c>
      <c r="AH70" s="302">
        <f t="shared" si="10"/>
        <v>2</v>
      </c>
      <c r="AI70" s="672">
        <f t="shared" si="11"/>
        <v>1.0273972602739727</v>
      </c>
    </row>
    <row r="71" spans="2:35" s="3" customFormat="1" x14ac:dyDescent="0.35">
      <c r="B71" s="10" t="s">
        <v>77</v>
      </c>
      <c r="C71" s="36" t="s">
        <v>84</v>
      </c>
      <c r="D71" s="268"/>
      <c r="E71" s="261">
        <v>65</v>
      </c>
      <c r="F71" s="30">
        <v>38</v>
      </c>
      <c r="G71" s="162">
        <v>89</v>
      </c>
      <c r="I71" s="262">
        <f t="shared" ref="I71:I86" si="12">(G71-E71)</f>
        <v>24</v>
      </c>
      <c r="J71" s="178">
        <f t="shared" ref="J71:J86" si="13">(G71/E71)</f>
        <v>1.3692307692307693</v>
      </c>
      <c r="K71" s="699">
        <f>J71-J86</f>
        <v>0.24349609248853588</v>
      </c>
      <c r="N71" s="10" t="s">
        <v>77</v>
      </c>
      <c r="O71" s="36" t="s">
        <v>84</v>
      </c>
      <c r="Q71" s="191">
        <f t="shared" ref="Q71:Q86" si="14">(G71-F71)</f>
        <v>51</v>
      </c>
      <c r="R71" s="264">
        <f t="shared" ref="R71:R86" si="15">G71/F71</f>
        <v>2.3421052631578947</v>
      </c>
      <c r="S71" s="687">
        <f>R71-R86</f>
        <v>1.0872922362415327E-2</v>
      </c>
      <c r="U71" s="203">
        <v>65</v>
      </c>
      <c r="V71" s="294">
        <v>69</v>
      </c>
      <c r="W71" s="360">
        <v>83</v>
      </c>
      <c r="X71" s="294">
        <v>87</v>
      </c>
      <c r="Y71" s="375">
        <v>95</v>
      </c>
      <c r="Z71" s="155"/>
      <c r="AA71" s="131" t="s">
        <v>84</v>
      </c>
      <c r="AB71" s="220">
        <f t="shared" ref="AB71:AB86" si="16">V71-U71</f>
        <v>4</v>
      </c>
      <c r="AC71" s="726">
        <f t="shared" ref="AC71:AC86" si="17">V71/U71</f>
        <v>1.0615384615384615</v>
      </c>
      <c r="AD71" s="394">
        <f t="shared" ref="AD71:AD86" si="18">(W71-V71)</f>
        <v>14</v>
      </c>
      <c r="AE71" s="732">
        <f t="shared" ref="AE71:AE86" si="19">W71/V71</f>
        <v>1.2028985507246377</v>
      </c>
      <c r="AF71" s="306">
        <f t="shared" ref="AF71:AF86" si="20">X71-W71</f>
        <v>4</v>
      </c>
      <c r="AG71" s="306">
        <f t="shared" ref="AG71:AG86" si="21">Y71-X71</f>
        <v>8</v>
      </c>
      <c r="AH71" s="302">
        <f t="shared" ref="AH71:AH86" si="22">Y71-U71</f>
        <v>30</v>
      </c>
      <c r="AI71" s="670">
        <f t="shared" ref="AI71:AI86" si="23">Y71/U71</f>
        <v>1.4615384615384615</v>
      </c>
    </row>
    <row r="72" spans="2:35" s="3" customFormat="1" ht="14" x14ac:dyDescent="0.3">
      <c r="B72" s="10" t="s">
        <v>77</v>
      </c>
      <c r="C72" s="36" t="s">
        <v>85</v>
      </c>
      <c r="D72" s="268"/>
      <c r="E72" s="261">
        <v>751</v>
      </c>
      <c r="F72" s="41">
        <v>299</v>
      </c>
      <c r="G72" s="170">
        <v>846</v>
      </c>
      <c r="I72" s="262">
        <f t="shared" si="12"/>
        <v>95</v>
      </c>
      <c r="J72" s="178">
        <f t="shared" si="13"/>
        <v>1.1264980026631159</v>
      </c>
      <c r="K72" s="696">
        <f>J72-J86</f>
        <v>7.6332592088257378E-4</v>
      </c>
      <c r="N72" s="10" t="s">
        <v>77</v>
      </c>
      <c r="O72" s="36" t="s">
        <v>85</v>
      </c>
      <c r="Q72" s="191">
        <f t="shared" si="14"/>
        <v>547</v>
      </c>
      <c r="R72" s="264">
        <f t="shared" si="15"/>
        <v>2.8294314381270902</v>
      </c>
      <c r="S72" s="685">
        <f>R72-R86</f>
        <v>0.49819909733161083</v>
      </c>
      <c r="U72" s="203">
        <v>751</v>
      </c>
      <c r="V72" s="294">
        <v>805</v>
      </c>
      <c r="W72" s="360">
        <v>828</v>
      </c>
      <c r="X72" s="294">
        <v>839</v>
      </c>
      <c r="Y72" s="375">
        <v>868</v>
      </c>
      <c r="Z72" s="155"/>
      <c r="AA72" s="131" t="s">
        <v>85</v>
      </c>
      <c r="AB72" s="220">
        <f t="shared" si="16"/>
        <v>54</v>
      </c>
      <c r="AC72" s="726">
        <f t="shared" si="17"/>
        <v>1.0719041278295607</v>
      </c>
      <c r="AD72" s="394">
        <f t="shared" si="18"/>
        <v>23</v>
      </c>
      <c r="AE72" s="726">
        <f t="shared" si="19"/>
        <v>1.0285714285714285</v>
      </c>
      <c r="AF72" s="306">
        <f t="shared" si="20"/>
        <v>11</v>
      </c>
      <c r="AG72" s="306">
        <f t="shared" si="21"/>
        <v>29</v>
      </c>
      <c r="AH72" s="302">
        <f t="shared" si="22"/>
        <v>117</v>
      </c>
      <c r="AI72" s="675">
        <f t="shared" si="23"/>
        <v>1.1557922769640478</v>
      </c>
    </row>
    <row r="73" spans="2:35" s="3" customFormat="1" ht="14" x14ac:dyDescent="0.3">
      <c r="B73" s="10" t="s">
        <v>86</v>
      </c>
      <c r="C73" s="36" t="s">
        <v>87</v>
      </c>
      <c r="D73" s="268"/>
      <c r="E73" s="261">
        <v>73</v>
      </c>
      <c r="F73" s="41">
        <v>38</v>
      </c>
      <c r="G73" s="162">
        <v>87</v>
      </c>
      <c r="I73" s="262">
        <f t="shared" si="12"/>
        <v>14</v>
      </c>
      <c r="J73" s="178">
        <f t="shared" si="13"/>
        <v>1.1917808219178083</v>
      </c>
      <c r="K73" s="696">
        <f>J73-J86</f>
        <v>6.6046145175574944E-2</v>
      </c>
      <c r="N73" s="10" t="s">
        <v>86</v>
      </c>
      <c r="O73" s="36" t="s">
        <v>87</v>
      </c>
      <c r="Q73" s="191">
        <f t="shared" si="14"/>
        <v>49</v>
      </c>
      <c r="R73" s="264">
        <f t="shared" si="15"/>
        <v>2.2894736842105261</v>
      </c>
      <c r="S73" s="690">
        <f>R73-R86</f>
        <v>-4.1758656584953258E-2</v>
      </c>
      <c r="U73" s="203">
        <v>73</v>
      </c>
      <c r="V73" s="294">
        <v>76</v>
      </c>
      <c r="W73" s="360">
        <v>82</v>
      </c>
      <c r="X73" s="294">
        <v>84</v>
      </c>
      <c r="Y73" s="202">
        <v>89</v>
      </c>
      <c r="Z73" s="31"/>
      <c r="AA73" s="131" t="s">
        <v>87</v>
      </c>
      <c r="AB73" s="220">
        <f t="shared" si="16"/>
        <v>3</v>
      </c>
      <c r="AC73" s="726">
        <f t="shared" si="17"/>
        <v>1.0410958904109588</v>
      </c>
      <c r="AD73" s="394">
        <f t="shared" si="18"/>
        <v>6</v>
      </c>
      <c r="AE73" s="726">
        <f t="shared" si="19"/>
        <v>1.0789473684210527</v>
      </c>
      <c r="AF73" s="306">
        <f t="shared" si="20"/>
        <v>2</v>
      </c>
      <c r="AG73" s="306">
        <f t="shared" si="21"/>
        <v>5</v>
      </c>
      <c r="AH73" s="302">
        <f t="shared" si="22"/>
        <v>16</v>
      </c>
      <c r="AI73" s="676">
        <f t="shared" si="23"/>
        <v>1.2191780821917808</v>
      </c>
    </row>
    <row r="74" spans="2:35" s="3" customFormat="1" ht="14" x14ac:dyDescent="0.3">
      <c r="B74" s="10" t="s">
        <v>86</v>
      </c>
      <c r="C74" s="36" t="s">
        <v>88</v>
      </c>
      <c r="D74" s="268"/>
      <c r="E74" s="261">
        <v>81</v>
      </c>
      <c r="F74" s="41">
        <v>86</v>
      </c>
      <c r="G74" s="162">
        <v>87</v>
      </c>
      <c r="I74" s="262">
        <f t="shared" si="12"/>
        <v>6</v>
      </c>
      <c r="J74" s="178">
        <f t="shared" si="13"/>
        <v>1.0740740740740742</v>
      </c>
      <c r="K74" s="700">
        <f>J74-J86</f>
        <v>-5.1660602668159195E-2</v>
      </c>
      <c r="N74" s="10" t="s">
        <v>86</v>
      </c>
      <c r="O74" s="36" t="s">
        <v>88</v>
      </c>
      <c r="Q74" s="191">
        <f t="shared" si="14"/>
        <v>1</v>
      </c>
      <c r="R74" s="264">
        <f t="shared" si="15"/>
        <v>1.0116279069767442</v>
      </c>
      <c r="S74" s="693">
        <f>R74-R86</f>
        <v>-1.3196044338187352</v>
      </c>
      <c r="U74" s="203">
        <v>81</v>
      </c>
      <c r="V74" s="294">
        <v>84</v>
      </c>
      <c r="W74" s="360">
        <v>86</v>
      </c>
      <c r="X74" s="294">
        <v>87</v>
      </c>
      <c r="Y74" s="202">
        <v>87</v>
      </c>
      <c r="Z74" s="31"/>
      <c r="AA74" s="131" t="s">
        <v>88</v>
      </c>
      <c r="AB74" s="220">
        <f t="shared" si="16"/>
        <v>3</v>
      </c>
      <c r="AC74" s="726">
        <f t="shared" si="17"/>
        <v>1.037037037037037</v>
      </c>
      <c r="AD74" s="394">
        <f t="shared" si="18"/>
        <v>2</v>
      </c>
      <c r="AE74" s="726">
        <f t="shared" si="19"/>
        <v>1.0238095238095237</v>
      </c>
      <c r="AF74" s="306">
        <f t="shared" si="20"/>
        <v>1</v>
      </c>
      <c r="AG74" s="306">
        <f t="shared" si="21"/>
        <v>0</v>
      </c>
      <c r="AH74" s="302">
        <f t="shared" si="22"/>
        <v>6</v>
      </c>
      <c r="AI74" s="672">
        <f t="shared" si="23"/>
        <v>1.0740740740740742</v>
      </c>
    </row>
    <row r="75" spans="2:35" s="3" customFormat="1" ht="14" x14ac:dyDescent="0.3">
      <c r="B75" s="10" t="s">
        <v>86</v>
      </c>
      <c r="C75" s="36" t="s">
        <v>89</v>
      </c>
      <c r="D75" s="268"/>
      <c r="E75" s="261">
        <v>171</v>
      </c>
      <c r="F75" s="41">
        <v>84</v>
      </c>
      <c r="G75" s="162">
        <v>187</v>
      </c>
      <c r="I75" s="262">
        <f t="shared" si="12"/>
        <v>16</v>
      </c>
      <c r="J75" s="178">
        <f t="shared" si="13"/>
        <v>1.0935672514619883</v>
      </c>
      <c r="K75" s="700">
        <f>J75-J86</f>
        <v>-3.2167425280245077E-2</v>
      </c>
      <c r="N75" s="10" t="s">
        <v>86</v>
      </c>
      <c r="O75" s="36" t="s">
        <v>89</v>
      </c>
      <c r="Q75" s="191">
        <f t="shared" si="14"/>
        <v>103</v>
      </c>
      <c r="R75" s="264">
        <f t="shared" si="15"/>
        <v>2.2261904761904763</v>
      </c>
      <c r="S75" s="691">
        <f>R75-R86</f>
        <v>-0.10504186460500309</v>
      </c>
      <c r="U75" s="203">
        <v>171</v>
      </c>
      <c r="V75" s="294">
        <v>172</v>
      </c>
      <c r="W75" s="360">
        <v>173</v>
      </c>
      <c r="X75" s="294">
        <v>175</v>
      </c>
      <c r="Y75" s="202">
        <v>180</v>
      </c>
      <c r="Z75" s="31"/>
      <c r="AA75" s="131" t="s">
        <v>89</v>
      </c>
      <c r="AB75" s="220">
        <f t="shared" si="16"/>
        <v>1</v>
      </c>
      <c r="AC75" s="726">
        <f t="shared" si="17"/>
        <v>1.0058479532163742</v>
      </c>
      <c r="AD75" s="394">
        <f t="shared" si="18"/>
        <v>1</v>
      </c>
      <c r="AE75" s="726">
        <f t="shared" si="19"/>
        <v>1.0058139534883721</v>
      </c>
      <c r="AF75" s="306">
        <f t="shared" si="20"/>
        <v>2</v>
      </c>
      <c r="AG75" s="306">
        <f t="shared" si="21"/>
        <v>5</v>
      </c>
      <c r="AH75" s="302">
        <f t="shared" si="22"/>
        <v>9</v>
      </c>
      <c r="AI75" s="672">
        <f t="shared" si="23"/>
        <v>1.0526315789473684</v>
      </c>
    </row>
    <row r="76" spans="2:35" s="3" customFormat="1" ht="14" x14ac:dyDescent="0.3">
      <c r="B76" s="10" t="s">
        <v>90</v>
      </c>
      <c r="C76" s="36" t="s">
        <v>91</v>
      </c>
      <c r="D76" s="268"/>
      <c r="E76" s="261">
        <v>119</v>
      </c>
      <c r="F76" s="3">
        <v>95</v>
      </c>
      <c r="G76" s="162">
        <v>137</v>
      </c>
      <c r="I76" s="262">
        <f t="shared" si="12"/>
        <v>18</v>
      </c>
      <c r="J76" s="178">
        <f t="shared" si="13"/>
        <v>1.1512605042016806</v>
      </c>
      <c r="K76" s="696">
        <f>J76-J86</f>
        <v>2.5525827459447203E-2</v>
      </c>
      <c r="N76" s="10" t="s">
        <v>90</v>
      </c>
      <c r="O76" s="36" t="s">
        <v>91</v>
      </c>
      <c r="Q76" s="191">
        <f t="shared" si="14"/>
        <v>42</v>
      </c>
      <c r="R76" s="264">
        <f t="shared" si="15"/>
        <v>1.4421052631578948</v>
      </c>
      <c r="S76" s="693">
        <f>R76-R86</f>
        <v>-0.88912707763758458</v>
      </c>
      <c r="U76" s="203">
        <v>119</v>
      </c>
      <c r="V76" s="294">
        <v>130</v>
      </c>
      <c r="W76" s="360">
        <v>132</v>
      </c>
      <c r="X76" s="294">
        <v>136</v>
      </c>
      <c r="Y76" s="202">
        <v>138</v>
      </c>
      <c r="Z76" s="31"/>
      <c r="AA76" s="131" t="s">
        <v>91</v>
      </c>
      <c r="AB76" s="220">
        <f t="shared" si="16"/>
        <v>11</v>
      </c>
      <c r="AC76" s="726">
        <f t="shared" si="17"/>
        <v>1.0924369747899159</v>
      </c>
      <c r="AD76" s="394">
        <f t="shared" si="18"/>
        <v>2</v>
      </c>
      <c r="AE76" s="726">
        <f t="shared" si="19"/>
        <v>1.0153846153846153</v>
      </c>
      <c r="AF76" s="306">
        <f t="shared" si="20"/>
        <v>4</v>
      </c>
      <c r="AG76" s="306">
        <f t="shared" si="21"/>
        <v>2</v>
      </c>
      <c r="AH76" s="302">
        <f t="shared" si="22"/>
        <v>19</v>
      </c>
      <c r="AI76" s="675">
        <f t="shared" si="23"/>
        <v>1.1596638655462186</v>
      </c>
    </row>
    <row r="77" spans="2:35" s="3" customFormat="1" ht="14" x14ac:dyDescent="0.3">
      <c r="B77" s="10" t="s">
        <v>90</v>
      </c>
      <c r="C77" s="36" t="s">
        <v>92</v>
      </c>
      <c r="D77" s="268"/>
      <c r="E77" s="261">
        <v>119</v>
      </c>
      <c r="F77" s="41">
        <v>49</v>
      </c>
      <c r="G77" s="162">
        <v>124</v>
      </c>
      <c r="I77" s="262">
        <f t="shared" si="12"/>
        <v>5</v>
      </c>
      <c r="J77" s="178">
        <f t="shared" si="13"/>
        <v>1.0420168067226891</v>
      </c>
      <c r="K77" s="700">
        <f>J77-J86</f>
        <v>-8.3717870019544227E-2</v>
      </c>
      <c r="N77" s="10" t="s">
        <v>90</v>
      </c>
      <c r="O77" s="36" t="s">
        <v>92</v>
      </c>
      <c r="Q77" s="191">
        <f t="shared" si="14"/>
        <v>75</v>
      </c>
      <c r="R77" s="264">
        <f t="shared" si="15"/>
        <v>2.5306122448979593</v>
      </c>
      <c r="S77" s="689">
        <f>R77-R86</f>
        <v>0.19937990410247997</v>
      </c>
      <c r="U77" s="203">
        <v>119</v>
      </c>
      <c r="V77" s="294">
        <v>118</v>
      </c>
      <c r="W77" s="360">
        <v>126</v>
      </c>
      <c r="X77" s="294">
        <v>120</v>
      </c>
      <c r="Y77" s="202">
        <v>126</v>
      </c>
      <c r="Z77" s="31"/>
      <c r="AA77" s="131" t="s">
        <v>92</v>
      </c>
      <c r="AB77" s="220">
        <f t="shared" si="16"/>
        <v>-1</v>
      </c>
      <c r="AC77" s="733">
        <f t="shared" si="17"/>
        <v>0.99159663865546221</v>
      </c>
      <c r="AD77" s="394">
        <f t="shared" si="18"/>
        <v>8</v>
      </c>
      <c r="AE77" s="726">
        <f t="shared" si="19"/>
        <v>1.0677966101694916</v>
      </c>
      <c r="AF77" s="306">
        <f t="shared" si="20"/>
        <v>-6</v>
      </c>
      <c r="AG77" s="306">
        <f t="shared" si="21"/>
        <v>6</v>
      </c>
      <c r="AH77" s="302">
        <f t="shared" si="22"/>
        <v>7</v>
      </c>
      <c r="AI77" s="672">
        <f t="shared" si="23"/>
        <v>1.0588235294117647</v>
      </c>
    </row>
    <row r="78" spans="2:35" s="3" customFormat="1" ht="14" x14ac:dyDescent="0.3">
      <c r="B78" s="10" t="s">
        <v>90</v>
      </c>
      <c r="C78" s="36" t="s">
        <v>93</v>
      </c>
      <c r="D78" s="268"/>
      <c r="E78" s="261">
        <v>165</v>
      </c>
      <c r="F78" s="41">
        <v>68</v>
      </c>
      <c r="G78" s="162">
        <v>168</v>
      </c>
      <c r="I78" s="262">
        <f t="shared" si="12"/>
        <v>3</v>
      </c>
      <c r="J78" s="178">
        <f t="shared" si="13"/>
        <v>1.0181818181818181</v>
      </c>
      <c r="K78" s="700">
        <f>J78-J86</f>
        <v>-0.1075528585604153</v>
      </c>
      <c r="N78" s="10" t="s">
        <v>90</v>
      </c>
      <c r="O78" s="36" t="s">
        <v>93</v>
      </c>
      <c r="Q78" s="191">
        <f t="shared" si="14"/>
        <v>100</v>
      </c>
      <c r="R78" s="264">
        <f t="shared" si="15"/>
        <v>2.4705882352941178</v>
      </c>
      <c r="S78" s="688">
        <f>R78-R86</f>
        <v>0.13935589449863839</v>
      </c>
      <c r="U78" s="203">
        <v>165</v>
      </c>
      <c r="V78" s="294">
        <v>163</v>
      </c>
      <c r="W78" s="360">
        <v>164</v>
      </c>
      <c r="X78" s="294">
        <v>159</v>
      </c>
      <c r="Y78" s="375">
        <v>166</v>
      </c>
      <c r="Z78" s="155"/>
      <c r="AA78" s="131" t="s">
        <v>93</v>
      </c>
      <c r="AB78" s="220">
        <f t="shared" si="16"/>
        <v>-2</v>
      </c>
      <c r="AC78" s="733">
        <f t="shared" si="17"/>
        <v>0.98787878787878791</v>
      </c>
      <c r="AD78" s="394">
        <f t="shared" si="18"/>
        <v>1</v>
      </c>
      <c r="AE78" s="726">
        <f t="shared" si="19"/>
        <v>1.0061349693251533</v>
      </c>
      <c r="AF78" s="306">
        <f t="shared" si="20"/>
        <v>-5</v>
      </c>
      <c r="AG78" s="306">
        <f t="shared" si="21"/>
        <v>7</v>
      </c>
      <c r="AH78" s="302">
        <f t="shared" si="22"/>
        <v>1</v>
      </c>
      <c r="AI78" s="672">
        <f t="shared" si="23"/>
        <v>1.0060606060606061</v>
      </c>
    </row>
    <row r="79" spans="2:35" s="3" customFormat="1" ht="14" x14ac:dyDescent="0.3">
      <c r="B79" s="10" t="s">
        <v>90</v>
      </c>
      <c r="C79" s="36" t="s">
        <v>94</v>
      </c>
      <c r="D79" s="268"/>
      <c r="E79" s="261">
        <v>175</v>
      </c>
      <c r="F79" s="41">
        <v>49</v>
      </c>
      <c r="G79" s="162">
        <v>201</v>
      </c>
      <c r="I79" s="262">
        <f t="shared" si="12"/>
        <v>26</v>
      </c>
      <c r="J79" s="178">
        <f t="shared" si="13"/>
        <v>1.1485714285714286</v>
      </c>
      <c r="K79" s="696">
        <f>J79-J86</f>
        <v>2.2836751829195201E-2</v>
      </c>
      <c r="N79" s="10" t="s">
        <v>90</v>
      </c>
      <c r="O79" s="36" t="s">
        <v>94</v>
      </c>
      <c r="Q79" s="191">
        <f t="shared" si="14"/>
        <v>152</v>
      </c>
      <c r="R79" s="264">
        <f>G79/F79</f>
        <v>4.1020408163265305</v>
      </c>
      <c r="S79" s="685">
        <f>R79-R86</f>
        <v>1.7708084755310511</v>
      </c>
      <c r="U79" s="203">
        <v>175</v>
      </c>
      <c r="V79" s="294">
        <v>185</v>
      </c>
      <c r="W79" s="360">
        <v>193</v>
      </c>
      <c r="X79" s="294">
        <v>204</v>
      </c>
      <c r="Y79" s="375">
        <v>201</v>
      </c>
      <c r="Z79" s="155"/>
      <c r="AA79" s="131" t="s">
        <v>94</v>
      </c>
      <c r="AB79" s="220">
        <f t="shared" si="16"/>
        <v>10</v>
      </c>
      <c r="AC79" s="726">
        <f t="shared" si="17"/>
        <v>1.0571428571428572</v>
      </c>
      <c r="AD79" s="394">
        <f t="shared" si="18"/>
        <v>8</v>
      </c>
      <c r="AE79" s="726">
        <f t="shared" si="19"/>
        <v>1.0432432432432432</v>
      </c>
      <c r="AF79" s="306">
        <f t="shared" si="20"/>
        <v>11</v>
      </c>
      <c r="AG79" s="306">
        <f t="shared" si="21"/>
        <v>-3</v>
      </c>
      <c r="AH79" s="302">
        <f t="shared" si="22"/>
        <v>26</v>
      </c>
      <c r="AI79" s="675">
        <f t="shared" si="23"/>
        <v>1.1485714285714286</v>
      </c>
    </row>
    <row r="80" spans="2:35" s="3" customFormat="1" ht="14" x14ac:dyDescent="0.3">
      <c r="B80" s="10" t="s">
        <v>95</v>
      </c>
      <c r="C80" s="36" t="s">
        <v>96</v>
      </c>
      <c r="D80" s="268"/>
      <c r="E80" s="261">
        <v>66</v>
      </c>
      <c r="F80" s="41">
        <v>61</v>
      </c>
      <c r="G80" s="162">
        <v>59</v>
      </c>
      <c r="I80" s="262">
        <f t="shared" si="12"/>
        <v>-7</v>
      </c>
      <c r="J80" s="178">
        <f t="shared" si="13"/>
        <v>0.89393939393939392</v>
      </c>
      <c r="K80" s="702">
        <f>J80-J86</f>
        <v>-0.23179528280283945</v>
      </c>
      <c r="N80" s="10" t="s">
        <v>95</v>
      </c>
      <c r="O80" s="36" t="s">
        <v>96</v>
      </c>
      <c r="Q80" s="191">
        <f t="shared" si="14"/>
        <v>-2</v>
      </c>
      <c r="R80" s="264">
        <f t="shared" si="15"/>
        <v>0.96721311475409832</v>
      </c>
      <c r="S80" s="693">
        <f>R80-R86</f>
        <v>-1.364019226041381</v>
      </c>
      <c r="U80" s="203">
        <v>66</v>
      </c>
      <c r="V80" s="294">
        <v>62</v>
      </c>
      <c r="W80" s="359">
        <v>58</v>
      </c>
      <c r="X80" s="294">
        <v>56</v>
      </c>
      <c r="Y80" s="202">
        <v>67</v>
      </c>
      <c r="Z80" s="31"/>
      <c r="AA80" s="131" t="s">
        <v>96</v>
      </c>
      <c r="AB80" s="220">
        <f t="shared" si="16"/>
        <v>-4</v>
      </c>
      <c r="AC80" s="733">
        <f t="shared" si="17"/>
        <v>0.93939393939393945</v>
      </c>
      <c r="AD80" s="394">
        <f t="shared" si="18"/>
        <v>-4</v>
      </c>
      <c r="AE80" s="733">
        <f t="shared" si="19"/>
        <v>0.93548387096774188</v>
      </c>
      <c r="AF80" s="306">
        <f t="shared" si="20"/>
        <v>-2</v>
      </c>
      <c r="AG80" s="306">
        <f t="shared" si="21"/>
        <v>11</v>
      </c>
      <c r="AH80" s="302">
        <f t="shared" si="22"/>
        <v>1</v>
      </c>
      <c r="AI80" s="672">
        <f t="shared" si="23"/>
        <v>1.0151515151515151</v>
      </c>
    </row>
    <row r="81" spans="1:35" s="3" customFormat="1" ht="14" x14ac:dyDescent="0.3">
      <c r="B81" s="10" t="s">
        <v>95</v>
      </c>
      <c r="C81" s="36" t="s">
        <v>97</v>
      </c>
      <c r="D81" s="268"/>
      <c r="E81" s="261">
        <v>59</v>
      </c>
      <c r="F81" s="41">
        <v>29</v>
      </c>
      <c r="G81" s="162">
        <v>64</v>
      </c>
      <c r="I81" s="262">
        <f t="shared" si="12"/>
        <v>5</v>
      </c>
      <c r="J81" s="178">
        <f t="shared" si="13"/>
        <v>1.0847457627118644</v>
      </c>
      <c r="K81" s="700">
        <f>J81-J86</f>
        <v>-4.0988914030368973E-2</v>
      </c>
      <c r="N81" s="10" t="s">
        <v>95</v>
      </c>
      <c r="O81" s="36" t="s">
        <v>97</v>
      </c>
      <c r="Q81" s="191">
        <f t="shared" si="14"/>
        <v>35</v>
      </c>
      <c r="R81" s="264">
        <f t="shared" si="15"/>
        <v>2.2068965517241379</v>
      </c>
      <c r="S81" s="691">
        <f>R81-R86</f>
        <v>-0.12433578907134146</v>
      </c>
      <c r="U81" s="203">
        <v>59</v>
      </c>
      <c r="V81" s="294">
        <v>60</v>
      </c>
      <c r="W81" s="359">
        <v>60</v>
      </c>
      <c r="X81" s="294">
        <v>57</v>
      </c>
      <c r="Y81" s="202">
        <v>59</v>
      </c>
      <c r="Z81" s="31"/>
      <c r="AA81" s="131" t="s">
        <v>97</v>
      </c>
      <c r="AB81" s="220">
        <f t="shared" si="16"/>
        <v>1</v>
      </c>
      <c r="AC81" s="726">
        <f t="shared" si="17"/>
        <v>1.0169491525423728</v>
      </c>
      <c r="AD81" s="394">
        <f t="shared" si="18"/>
        <v>0</v>
      </c>
      <c r="AE81" s="726">
        <f t="shared" si="19"/>
        <v>1</v>
      </c>
      <c r="AF81" s="306">
        <f t="shared" si="20"/>
        <v>-3</v>
      </c>
      <c r="AG81" s="306">
        <f t="shared" si="21"/>
        <v>2</v>
      </c>
      <c r="AH81" s="302">
        <f t="shared" si="22"/>
        <v>0</v>
      </c>
      <c r="AI81" s="672">
        <f t="shared" si="23"/>
        <v>1</v>
      </c>
    </row>
    <row r="82" spans="1:35" s="3" customFormat="1" ht="14" x14ac:dyDescent="0.3">
      <c r="B82" s="10" t="s">
        <v>95</v>
      </c>
      <c r="C82" s="36" t="s">
        <v>98</v>
      </c>
      <c r="D82" s="268"/>
      <c r="E82" s="261">
        <v>41</v>
      </c>
      <c r="F82" s="41">
        <v>24</v>
      </c>
      <c r="G82" s="162">
        <v>46</v>
      </c>
      <c r="I82" s="262">
        <f t="shared" si="12"/>
        <v>5</v>
      </c>
      <c r="J82" s="178">
        <f t="shared" si="13"/>
        <v>1.1219512195121952</v>
      </c>
      <c r="K82" s="696">
        <f>J82-J86</f>
        <v>-3.7834572300381453E-3</v>
      </c>
      <c r="N82" s="10" t="s">
        <v>95</v>
      </c>
      <c r="O82" s="36" t="s">
        <v>98</v>
      </c>
      <c r="Q82" s="191">
        <f t="shared" si="14"/>
        <v>22</v>
      </c>
      <c r="R82" s="264">
        <f t="shared" si="15"/>
        <v>1.9166666666666667</v>
      </c>
      <c r="S82" s="693">
        <f>R82-R86</f>
        <v>-0.41456567412881262</v>
      </c>
      <c r="U82" s="203">
        <v>41</v>
      </c>
      <c r="V82" s="294">
        <v>43</v>
      </c>
      <c r="W82" s="360">
        <v>47</v>
      </c>
      <c r="X82" s="294">
        <v>45</v>
      </c>
      <c r="Y82" s="202">
        <v>46</v>
      </c>
      <c r="Z82" s="31"/>
      <c r="AA82" s="131" t="s">
        <v>98</v>
      </c>
      <c r="AB82" s="220">
        <f t="shared" si="16"/>
        <v>2</v>
      </c>
      <c r="AC82" s="726">
        <f t="shared" si="17"/>
        <v>1.0487804878048781</v>
      </c>
      <c r="AD82" s="394">
        <f t="shared" si="18"/>
        <v>4</v>
      </c>
      <c r="AE82" s="726">
        <f t="shared" si="19"/>
        <v>1.0930232558139534</v>
      </c>
      <c r="AF82" s="306">
        <f t="shared" si="20"/>
        <v>-2</v>
      </c>
      <c r="AG82" s="306">
        <f t="shared" si="21"/>
        <v>1</v>
      </c>
      <c r="AH82" s="302">
        <f t="shared" si="22"/>
        <v>5</v>
      </c>
      <c r="AI82" s="675">
        <f t="shared" si="23"/>
        <v>1.1219512195121952</v>
      </c>
    </row>
    <row r="83" spans="1:35" s="3" customFormat="1" ht="14" x14ac:dyDescent="0.3">
      <c r="B83" s="10" t="s">
        <v>95</v>
      </c>
      <c r="C83" s="36" t="s">
        <v>99</v>
      </c>
      <c r="D83" s="268"/>
      <c r="E83" s="261">
        <v>110</v>
      </c>
      <c r="F83" s="41">
        <v>119</v>
      </c>
      <c r="G83" s="162">
        <v>139</v>
      </c>
      <c r="I83" s="262">
        <f t="shared" si="12"/>
        <v>29</v>
      </c>
      <c r="J83" s="178">
        <f t="shared" si="13"/>
        <v>1.2636363636363637</v>
      </c>
      <c r="K83" s="698">
        <f>J83-J86</f>
        <v>0.13790168689413029</v>
      </c>
      <c r="N83" s="10" t="s">
        <v>95</v>
      </c>
      <c r="O83" s="36" t="s">
        <v>99</v>
      </c>
      <c r="Q83" s="191">
        <f t="shared" si="14"/>
        <v>20</v>
      </c>
      <c r="R83" s="264">
        <f t="shared" si="15"/>
        <v>1.1680672268907564</v>
      </c>
      <c r="S83" s="693">
        <f>R83-R86</f>
        <v>-1.163165113904723</v>
      </c>
      <c r="U83" s="203">
        <v>110</v>
      </c>
      <c r="V83" s="294">
        <v>117</v>
      </c>
      <c r="W83" s="360">
        <v>126</v>
      </c>
      <c r="X83" s="294">
        <v>127</v>
      </c>
      <c r="Y83" s="375">
        <v>125</v>
      </c>
      <c r="Z83" s="155"/>
      <c r="AA83" s="131" t="s">
        <v>99</v>
      </c>
      <c r="AB83" s="220">
        <f t="shared" si="16"/>
        <v>7</v>
      </c>
      <c r="AC83" s="726">
        <f t="shared" si="17"/>
        <v>1.0636363636363637</v>
      </c>
      <c r="AD83" s="394">
        <f t="shared" si="18"/>
        <v>9</v>
      </c>
      <c r="AE83" s="726">
        <f t="shared" si="19"/>
        <v>1.0769230769230769</v>
      </c>
      <c r="AF83" s="306">
        <f t="shared" si="20"/>
        <v>1</v>
      </c>
      <c r="AG83" s="306">
        <f t="shared" si="21"/>
        <v>-2</v>
      </c>
      <c r="AH83" s="302">
        <f t="shared" si="22"/>
        <v>15</v>
      </c>
      <c r="AI83" s="675">
        <f t="shared" si="23"/>
        <v>1.1363636363636365</v>
      </c>
    </row>
    <row r="84" spans="1:35" s="3" customFormat="1" ht="14" x14ac:dyDescent="0.3">
      <c r="B84" s="10" t="s">
        <v>95</v>
      </c>
      <c r="C84" s="36" t="s">
        <v>100</v>
      </c>
      <c r="D84" s="268"/>
      <c r="E84" s="261">
        <v>131</v>
      </c>
      <c r="F84" s="41">
        <v>112</v>
      </c>
      <c r="G84" s="162">
        <v>158</v>
      </c>
      <c r="I84" s="262">
        <f t="shared" si="12"/>
        <v>27</v>
      </c>
      <c r="J84" s="178">
        <f t="shared" si="13"/>
        <v>1.2061068702290076</v>
      </c>
      <c r="K84" s="696">
        <f>J84-J86</f>
        <v>8.0372193486774268E-2</v>
      </c>
      <c r="N84" s="10" t="s">
        <v>95</v>
      </c>
      <c r="O84" s="36" t="s">
        <v>100</v>
      </c>
      <c r="Q84" s="191">
        <f t="shared" si="14"/>
        <v>46</v>
      </c>
      <c r="R84" s="265">
        <f>G84/F84</f>
        <v>1.4107142857142858</v>
      </c>
      <c r="S84" s="693">
        <f>R84-R86</f>
        <v>-0.92051805508119355</v>
      </c>
      <c r="U84" s="203">
        <v>131</v>
      </c>
      <c r="V84" s="294">
        <v>139</v>
      </c>
      <c r="W84" s="360">
        <v>139</v>
      </c>
      <c r="X84" s="294">
        <v>148</v>
      </c>
      <c r="Y84" s="375">
        <v>126</v>
      </c>
      <c r="Z84" s="155"/>
      <c r="AA84" s="131" t="s">
        <v>100</v>
      </c>
      <c r="AB84" s="220">
        <f t="shared" si="16"/>
        <v>8</v>
      </c>
      <c r="AC84" s="726">
        <f t="shared" si="17"/>
        <v>1.0610687022900764</v>
      </c>
      <c r="AD84" s="394">
        <f t="shared" si="18"/>
        <v>0</v>
      </c>
      <c r="AE84" s="726">
        <f t="shared" si="19"/>
        <v>1</v>
      </c>
      <c r="AF84" s="306">
        <f t="shared" si="20"/>
        <v>9</v>
      </c>
      <c r="AG84" s="306">
        <f t="shared" si="21"/>
        <v>-22</v>
      </c>
      <c r="AH84" s="302">
        <f t="shared" si="22"/>
        <v>-5</v>
      </c>
      <c r="AI84" s="679">
        <f t="shared" si="23"/>
        <v>0.96183206106870234</v>
      </c>
    </row>
    <row r="85" spans="1:35" s="3" customFormat="1" thickBot="1" x14ac:dyDescent="0.35">
      <c r="B85" s="230" t="s">
        <v>199</v>
      </c>
      <c r="C85" s="231" t="s">
        <v>235</v>
      </c>
      <c r="D85" s="268"/>
      <c r="E85" s="739">
        <v>123</v>
      </c>
      <c r="F85" s="266" t="s">
        <v>236</v>
      </c>
      <c r="G85" s="267" t="s">
        <v>236</v>
      </c>
      <c r="I85" s="266" t="s">
        <v>236</v>
      </c>
      <c r="J85" s="391" t="s">
        <v>236</v>
      </c>
      <c r="K85" s="372" t="s">
        <v>269</v>
      </c>
      <c r="L85" s="27"/>
      <c r="M85" s="27"/>
      <c r="N85" s="230" t="s">
        <v>199</v>
      </c>
      <c r="O85" s="231" t="s">
        <v>235</v>
      </c>
      <c r="Q85" s="260" t="s">
        <v>236</v>
      </c>
      <c r="R85" s="260" t="s">
        <v>236</v>
      </c>
      <c r="S85" s="314" t="s">
        <v>271</v>
      </c>
      <c r="U85" s="376">
        <v>123</v>
      </c>
      <c r="V85" s="377">
        <v>80</v>
      </c>
      <c r="W85" s="378" t="s">
        <v>236</v>
      </c>
      <c r="X85" s="377">
        <v>60</v>
      </c>
      <c r="Y85" s="379">
        <v>49</v>
      </c>
      <c r="Z85" s="155"/>
      <c r="AA85" s="382" t="s">
        <v>235</v>
      </c>
      <c r="AB85" s="307">
        <f t="shared" si="16"/>
        <v>-43</v>
      </c>
      <c r="AC85" s="734">
        <f t="shared" si="17"/>
        <v>0.65040650406504064</v>
      </c>
      <c r="AD85" s="396" t="s">
        <v>443</v>
      </c>
      <c r="AE85" s="397" t="s">
        <v>269</v>
      </c>
      <c r="AF85" s="398" t="s">
        <v>444</v>
      </c>
      <c r="AG85" s="308">
        <f t="shared" si="21"/>
        <v>-11</v>
      </c>
      <c r="AH85" s="315">
        <f t="shared" si="22"/>
        <v>-74</v>
      </c>
      <c r="AI85" s="735">
        <f t="shared" si="23"/>
        <v>0.3983739837398374</v>
      </c>
    </row>
    <row r="86" spans="1:35" s="3" customFormat="1" thickBot="1" x14ac:dyDescent="0.35">
      <c r="B86" s="20"/>
      <c r="C86" s="66" t="s">
        <v>3</v>
      </c>
      <c r="D86" s="9"/>
      <c r="E86" s="248">
        <f>SUM(E6:E85)</f>
        <v>9528</v>
      </c>
      <c r="F86" s="135">
        <f>SUM(F6:F83)</f>
        <v>4601</v>
      </c>
      <c r="G86" s="136">
        <f>SUM(G6:G83)</f>
        <v>10726</v>
      </c>
      <c r="I86" s="161">
        <f t="shared" si="12"/>
        <v>1198</v>
      </c>
      <c r="J86" s="738">
        <f t="shared" si="13"/>
        <v>1.1257346767422334</v>
      </c>
      <c r="K86" s="297">
        <f>J86-J86</f>
        <v>0</v>
      </c>
      <c r="L86" s="4"/>
      <c r="M86" s="4"/>
      <c r="N86" s="684" t="s">
        <v>442</v>
      </c>
      <c r="O86" s="66" t="s">
        <v>441</v>
      </c>
      <c r="Q86" s="180">
        <f t="shared" si="14"/>
        <v>6125</v>
      </c>
      <c r="R86" s="738">
        <f t="shared" si="15"/>
        <v>2.3312323407954794</v>
      </c>
      <c r="S86" s="298">
        <f>R86-R86</f>
        <v>0</v>
      </c>
      <c r="U86" s="161">
        <f>SUM(U6:U85)</f>
        <v>9528</v>
      </c>
      <c r="V86" s="248">
        <f>SUM(V6:V85)</f>
        <v>10119</v>
      </c>
      <c r="W86" s="248">
        <f>SUM(W6:W85)</f>
        <v>10418</v>
      </c>
      <c r="X86" s="229">
        <f>SUM(X6:X85)</f>
        <v>10589</v>
      </c>
      <c r="Y86" s="217">
        <f>SUM(Y6:Y85)</f>
        <v>10956</v>
      </c>
      <c r="Z86" s="31"/>
      <c r="AA86" s="133" t="s">
        <v>291</v>
      </c>
      <c r="AB86" s="161">
        <f t="shared" si="16"/>
        <v>591</v>
      </c>
      <c r="AC86" s="729">
        <f t="shared" si="17"/>
        <v>1.0620277078085643</v>
      </c>
      <c r="AD86" s="395">
        <f t="shared" si="18"/>
        <v>299</v>
      </c>
      <c r="AE86" s="729">
        <f t="shared" si="19"/>
        <v>1.0295483743452911</v>
      </c>
      <c r="AF86" s="309">
        <f t="shared" si="20"/>
        <v>171</v>
      </c>
      <c r="AG86" s="309">
        <f t="shared" si="21"/>
        <v>367</v>
      </c>
      <c r="AH86" s="229">
        <f t="shared" si="22"/>
        <v>1428</v>
      </c>
      <c r="AI86" s="674">
        <f t="shared" si="23"/>
        <v>1.149874055415617</v>
      </c>
    </row>
    <row r="87" spans="1:35" s="3" customFormat="1" ht="14" x14ac:dyDescent="0.3">
      <c r="B87" s="8"/>
      <c r="C87" s="9"/>
      <c r="D87" s="9"/>
    </row>
    <row r="88" spans="1:35" s="3" customFormat="1" ht="14" x14ac:dyDescent="0.3">
      <c r="A88" s="4" t="s">
        <v>211</v>
      </c>
      <c r="B88" s="4"/>
    </row>
    <row r="89" spans="1:35" s="3" customFormat="1" ht="14" x14ac:dyDescent="0.3">
      <c r="A89" s="3" t="s">
        <v>110</v>
      </c>
      <c r="AB89" s="53" t="s">
        <v>462</v>
      </c>
      <c r="AG89" s="4"/>
      <c r="AH89" s="4"/>
    </row>
    <row r="90" spans="1:35" s="3" customFormat="1" ht="14" x14ac:dyDescent="0.3">
      <c r="A90" s="3" t="s">
        <v>265</v>
      </c>
      <c r="AC90" s="58"/>
      <c r="AD90" s="3" t="s">
        <v>440</v>
      </c>
      <c r="AF90" s="55"/>
      <c r="AG90" s="57" t="s">
        <v>434</v>
      </c>
      <c r="AH90" s="57"/>
    </row>
    <row r="91" spans="1:35" s="3" customFormat="1" ht="14" x14ac:dyDescent="0.3">
      <c r="A91" s="3" t="s">
        <v>266</v>
      </c>
      <c r="AC91" s="59"/>
      <c r="AD91" s="3" t="s">
        <v>437</v>
      </c>
      <c r="AF91" s="56"/>
      <c r="AG91" s="57" t="s">
        <v>435</v>
      </c>
      <c r="AH91" s="57"/>
    </row>
    <row r="92" spans="1:35" s="3" customFormat="1" ht="14" x14ac:dyDescent="0.3">
      <c r="A92" s="3" t="s">
        <v>267</v>
      </c>
      <c r="AC92" s="60"/>
      <c r="AD92" s="3" t="s">
        <v>438</v>
      </c>
      <c r="AF92" s="54"/>
      <c r="AG92" s="57" t="s">
        <v>436</v>
      </c>
      <c r="AH92" s="57"/>
    </row>
    <row r="93" spans="1:35" s="3" customFormat="1" ht="14" x14ac:dyDescent="0.3">
      <c r="A93" s="3" t="s">
        <v>209</v>
      </c>
      <c r="AC93" s="61"/>
      <c r="AD93" s="3" t="s">
        <v>461</v>
      </c>
      <c r="AF93" s="43"/>
      <c r="AG93" s="57" t="s">
        <v>439</v>
      </c>
      <c r="AH93" s="42"/>
    </row>
    <row r="94" spans="1:35" s="3" customFormat="1" ht="14" x14ac:dyDescent="0.3">
      <c r="A94" s="3" t="s">
        <v>427</v>
      </c>
    </row>
    <row r="95" spans="1:35" s="3" customFormat="1" ht="14" x14ac:dyDescent="0.3">
      <c r="A95" s="3" t="s">
        <v>287</v>
      </c>
    </row>
    <row r="96" spans="1:35" s="3" customFormat="1" ht="14" x14ac:dyDescent="0.3">
      <c r="A96" s="3" t="s">
        <v>209</v>
      </c>
    </row>
    <row r="97" spans="1:26" s="3" customFormat="1" ht="14" x14ac:dyDescent="0.3">
      <c r="A97" s="3" t="s">
        <v>425</v>
      </c>
    </row>
    <row r="98" spans="1:26" s="3" customFormat="1" ht="14" x14ac:dyDescent="0.3">
      <c r="A98" s="3" t="s">
        <v>426</v>
      </c>
    </row>
    <row r="99" spans="1:26" s="3" customFormat="1" ht="14" x14ac:dyDescent="0.3">
      <c r="A99" s="3" t="s">
        <v>268</v>
      </c>
    </row>
    <row r="100" spans="1:26" s="3" customFormat="1" thickBot="1" x14ac:dyDescent="0.35">
      <c r="A100" s="3" t="s">
        <v>210</v>
      </c>
    </row>
    <row r="101" spans="1:26" s="3" customFormat="1" ht="84" x14ac:dyDescent="0.3">
      <c r="W101" s="370" t="s">
        <v>0</v>
      </c>
      <c r="X101" s="362"/>
      <c r="Y101" s="361" t="s">
        <v>295</v>
      </c>
      <c r="Z101" s="383"/>
    </row>
    <row r="102" spans="1:26" s="3" customFormat="1" ht="14" x14ac:dyDescent="0.3">
      <c r="A102" s="40" t="s">
        <v>255</v>
      </c>
      <c r="F102" s="4"/>
      <c r="G102" s="4"/>
      <c r="W102" s="371" t="s">
        <v>219</v>
      </c>
      <c r="Y102" s="202">
        <v>3233</v>
      </c>
      <c r="Z102" s="31"/>
    </row>
    <row r="103" spans="1:26" s="3" customFormat="1" ht="14" x14ac:dyDescent="0.3">
      <c r="A103" s="40" t="s">
        <v>432</v>
      </c>
      <c r="F103" s="4"/>
      <c r="G103" s="4"/>
      <c r="W103" s="68" t="s">
        <v>220</v>
      </c>
      <c r="X103" s="363"/>
      <c r="Y103" s="202">
        <v>94</v>
      </c>
      <c r="Z103" s="31"/>
    </row>
    <row r="104" spans="1:26" s="3" customFormat="1" ht="14" x14ac:dyDescent="0.3">
      <c r="A104" s="53" t="s">
        <v>433</v>
      </c>
      <c r="F104" s="4"/>
      <c r="G104" s="4"/>
      <c r="W104" s="371" t="s">
        <v>221</v>
      </c>
      <c r="Y104" s="221">
        <v>1129</v>
      </c>
      <c r="Z104" s="31"/>
    </row>
    <row r="105" spans="1:26" s="3" customFormat="1" ht="14" x14ac:dyDescent="0.3">
      <c r="B105" s="58"/>
      <c r="C105" s="3" t="s">
        <v>128</v>
      </c>
      <c r="E105" s="55"/>
      <c r="F105" s="57" t="s">
        <v>428</v>
      </c>
      <c r="G105" s="57"/>
      <c r="W105" s="373" t="s">
        <v>222</v>
      </c>
      <c r="X105" s="365"/>
      <c r="Y105" s="221">
        <v>459</v>
      </c>
      <c r="Z105" s="31"/>
    </row>
    <row r="106" spans="1:26" s="3" customFormat="1" ht="14" x14ac:dyDescent="0.3">
      <c r="B106" s="59"/>
      <c r="C106" s="3" t="s">
        <v>129</v>
      </c>
      <c r="E106" s="56"/>
      <c r="F106" s="57" t="s">
        <v>429</v>
      </c>
      <c r="G106" s="57"/>
      <c r="W106" s="68" t="s">
        <v>223</v>
      </c>
      <c r="X106" s="366"/>
      <c r="Y106" s="202">
        <v>328</v>
      </c>
      <c r="Z106" s="31"/>
    </row>
    <row r="107" spans="1:26" s="3" customFormat="1" ht="14" x14ac:dyDescent="0.3">
      <c r="B107" s="60"/>
      <c r="C107" s="3" t="s">
        <v>130</v>
      </c>
      <c r="E107" s="54"/>
      <c r="F107" s="57" t="s">
        <v>430</v>
      </c>
      <c r="G107" s="57"/>
      <c r="W107" s="371" t="s">
        <v>224</v>
      </c>
      <c r="Y107" s="380">
        <v>226</v>
      </c>
      <c r="Z107" s="31"/>
    </row>
    <row r="108" spans="1:26" s="3" customFormat="1" ht="14" x14ac:dyDescent="0.3">
      <c r="B108" s="61"/>
      <c r="C108" s="3" t="s">
        <v>131</v>
      </c>
      <c r="E108" s="43"/>
      <c r="F108" s="57" t="s">
        <v>362</v>
      </c>
      <c r="G108" s="42"/>
      <c r="W108" s="68" t="s">
        <v>225</v>
      </c>
      <c r="X108" s="366"/>
      <c r="Y108" s="202">
        <v>658</v>
      </c>
      <c r="Z108" s="31"/>
    </row>
    <row r="109" spans="1:26" s="3" customFormat="1" ht="14" x14ac:dyDescent="0.3">
      <c r="F109" s="4"/>
      <c r="G109" s="4"/>
      <c r="W109" s="371" t="s">
        <v>226</v>
      </c>
      <c r="Y109" s="380">
        <v>374</v>
      </c>
      <c r="Z109" s="31"/>
    </row>
    <row r="110" spans="1:26" s="3" customFormat="1" ht="14" x14ac:dyDescent="0.3">
      <c r="A110" s="40" t="s">
        <v>254</v>
      </c>
      <c r="B110" s="40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W110" s="68" t="s">
        <v>227</v>
      </c>
      <c r="X110" s="366"/>
      <c r="Y110" s="202">
        <v>918</v>
      </c>
      <c r="Z110" s="31"/>
    </row>
    <row r="111" spans="1:26" s="39" customFormat="1" ht="14" x14ac:dyDescent="0.3">
      <c r="A111" s="53" t="s">
        <v>167</v>
      </c>
      <c r="B111" s="53"/>
      <c r="C111" s="53"/>
      <c r="D111" s="53"/>
      <c r="E111" s="53"/>
      <c r="V111" s="3"/>
      <c r="W111" s="371" t="s">
        <v>228</v>
      </c>
      <c r="X111" s="3"/>
      <c r="Y111" s="380">
        <v>365</v>
      </c>
      <c r="Z111" s="31"/>
    </row>
    <row r="112" spans="1:26" s="39" customFormat="1" ht="14" x14ac:dyDescent="0.3">
      <c r="A112" s="44" t="s">
        <v>124</v>
      </c>
      <c r="B112" s="44"/>
      <c r="V112" s="3"/>
      <c r="W112" s="68" t="s">
        <v>229</v>
      </c>
      <c r="X112" s="366"/>
      <c r="Y112" s="202">
        <v>366</v>
      </c>
      <c r="Z112" s="31"/>
    </row>
    <row r="113" spans="1:26" s="39" customFormat="1" ht="14" x14ac:dyDescent="0.3">
      <c r="A113" s="44" t="s">
        <v>431</v>
      </c>
      <c r="B113" s="44"/>
      <c r="V113" s="3"/>
      <c r="W113" s="371" t="s">
        <v>230</v>
      </c>
      <c r="X113" s="3"/>
      <c r="Y113" s="380">
        <v>1347</v>
      </c>
      <c r="Z113" s="31"/>
    </row>
    <row r="114" spans="1:26" s="39" customFormat="1" ht="14" x14ac:dyDescent="0.3">
      <c r="A114" s="44" t="s">
        <v>162</v>
      </c>
      <c r="B114" s="44"/>
      <c r="V114" s="3"/>
      <c r="W114" s="68" t="s">
        <v>231</v>
      </c>
      <c r="X114" s="366"/>
      <c r="Y114" s="202">
        <v>356</v>
      </c>
      <c r="Z114" s="31"/>
    </row>
    <row r="115" spans="1:26" s="39" customFormat="1" ht="14" x14ac:dyDescent="0.3">
      <c r="A115" s="44" t="s">
        <v>163</v>
      </c>
      <c r="B115" s="44"/>
      <c r="V115" s="3"/>
      <c r="W115" s="371" t="s">
        <v>232</v>
      </c>
      <c r="X115" s="3"/>
      <c r="Y115" s="380">
        <v>631</v>
      </c>
      <c r="Z115" s="31"/>
    </row>
    <row r="116" spans="1:26" s="39" customFormat="1" ht="14" x14ac:dyDescent="0.3">
      <c r="A116" s="44" t="s">
        <v>161</v>
      </c>
      <c r="B116" s="44"/>
      <c r="V116" s="3"/>
      <c r="W116" s="68" t="s">
        <v>233</v>
      </c>
      <c r="X116" s="366"/>
      <c r="Y116" s="202">
        <v>423</v>
      </c>
      <c r="Z116" s="31"/>
    </row>
    <row r="117" spans="1:26" s="39" customFormat="1" thickBot="1" x14ac:dyDescent="0.35">
      <c r="A117" s="44" t="s">
        <v>164</v>
      </c>
      <c r="B117" s="44"/>
      <c r="V117" s="3"/>
      <c r="W117" s="374" t="s">
        <v>199</v>
      </c>
      <c r="X117" s="364"/>
      <c r="Y117" s="381">
        <v>49</v>
      </c>
      <c r="Z117" s="31"/>
    </row>
    <row r="118" spans="1:26" s="39" customFormat="1" thickBot="1" x14ac:dyDescent="0.35">
      <c r="A118" s="44" t="s">
        <v>160</v>
      </c>
      <c r="B118" s="44"/>
      <c r="V118" s="3"/>
      <c r="W118" s="367" t="s">
        <v>3</v>
      </c>
      <c r="X118" s="368"/>
      <c r="Y118" s="369">
        <f>SUM(Y102:Y117)</f>
        <v>10956</v>
      </c>
      <c r="Z118" s="384"/>
    </row>
    <row r="119" spans="1:26" s="39" customFormat="1" ht="14" x14ac:dyDescent="0.3">
      <c r="A119" s="44" t="s">
        <v>166</v>
      </c>
      <c r="B119" s="44"/>
    </row>
    <row r="120" spans="1:26" s="39" customFormat="1" ht="14" x14ac:dyDescent="0.3">
      <c r="A120" s="44" t="s">
        <v>212</v>
      </c>
      <c r="B120" s="44"/>
    </row>
    <row r="121" spans="1:26" s="39" customFormat="1" ht="14" x14ac:dyDescent="0.3">
      <c r="A121" s="39" t="s">
        <v>213</v>
      </c>
      <c r="F121" s="3"/>
      <c r="G121" s="3"/>
      <c r="H121" s="3"/>
      <c r="I121" s="3"/>
      <c r="J121" s="3"/>
      <c r="K121" s="3"/>
      <c r="L121" s="3"/>
    </row>
    <row r="122" spans="1:26" s="3" customFormat="1" ht="14" x14ac:dyDescent="0.3"/>
    <row r="123" spans="1:26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26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26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</sheetData>
  <mergeCells count="6">
    <mergeCell ref="U1:X1"/>
    <mergeCell ref="AA3:AA5"/>
    <mergeCell ref="N3:N5"/>
    <mergeCell ref="O3:O5"/>
    <mergeCell ref="B3:B5"/>
    <mergeCell ref="C3:C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BE79-F17E-47DA-A884-C1D505ABDBC7}">
  <dimension ref="A1:AC103"/>
  <sheetViews>
    <sheetView tabSelected="1" showWhiteSpace="0" view="pageLayout" topLeftCell="D6" zoomScale="150" zoomScaleNormal="120" zoomScalePageLayoutView="150" workbookViewId="0">
      <selection activeCell="I17" sqref="I17"/>
    </sheetView>
  </sheetViews>
  <sheetFormatPr defaultRowHeight="14.5" x14ac:dyDescent="0.35"/>
  <cols>
    <col min="1" max="1" width="10.453125" customWidth="1"/>
    <col min="2" max="2" width="19.90625" customWidth="1"/>
    <col min="3" max="3" width="1.90625" customWidth="1"/>
    <col min="4" max="4" width="10" customWidth="1"/>
    <col min="5" max="5" width="9.90625" customWidth="1"/>
    <col min="6" max="6" width="10.1796875" customWidth="1"/>
    <col min="7" max="7" width="10.54296875" customWidth="1"/>
    <col min="8" max="9" width="10.26953125" customWidth="1"/>
    <col min="10" max="10" width="11.1796875" customWidth="1"/>
    <col min="11" max="11" width="10.7265625" customWidth="1"/>
    <col min="12" max="12" width="2.90625" customWidth="1"/>
    <col min="13" max="13" width="13.54296875" customWidth="1"/>
    <col min="14" max="14" width="13.6328125" customWidth="1"/>
    <col min="15" max="15" width="13.54296875" customWidth="1"/>
    <col min="16" max="16" width="1.26953125" customWidth="1"/>
    <col min="17" max="17" width="15.6328125" style="3" customWidth="1"/>
    <col min="18" max="18" width="11.90625" style="3" customWidth="1"/>
    <col min="19" max="19" width="13.81640625" style="3" customWidth="1"/>
    <col min="20" max="20" width="13" style="3" customWidth="1"/>
    <col min="21" max="21" width="13.36328125" style="3" customWidth="1"/>
    <col min="22" max="22" width="1.1796875" customWidth="1"/>
    <col min="23" max="23" width="18.26953125" customWidth="1"/>
    <col min="24" max="24" width="1.90625" customWidth="1"/>
  </cols>
  <sheetData>
    <row r="1" spans="1:23" s="3" customFormat="1" ht="14" x14ac:dyDescent="0.3"/>
    <row r="2" spans="1:23" s="3" customFormat="1" ht="14" x14ac:dyDescent="0.3">
      <c r="B2" s="4" t="s">
        <v>142</v>
      </c>
    </row>
    <row r="3" spans="1:23" s="3" customFormat="1" ht="14" x14ac:dyDescent="0.3">
      <c r="B3" s="4" t="s">
        <v>182</v>
      </c>
    </row>
    <row r="4" spans="1:23" s="3" customFormat="1" thickBot="1" x14ac:dyDescent="0.35"/>
    <row r="5" spans="1:23" s="3" customFormat="1" ht="18.5" customHeight="1" x14ac:dyDescent="0.3">
      <c r="A5" s="799" t="s">
        <v>0</v>
      </c>
      <c r="B5" s="796" t="s">
        <v>1</v>
      </c>
      <c r="C5" s="123"/>
      <c r="D5" s="164" t="s">
        <v>201</v>
      </c>
      <c r="E5" s="165"/>
      <c r="F5" s="166"/>
      <c r="G5" s="167"/>
      <c r="H5" s="167"/>
      <c r="I5" s="167"/>
      <c r="J5" s="167"/>
      <c r="K5" s="168"/>
      <c r="L5" s="4"/>
      <c r="M5" s="174" t="s">
        <v>399</v>
      </c>
      <c r="N5" s="167"/>
      <c r="O5" s="168"/>
      <c r="Q5" s="619" t="s">
        <v>389</v>
      </c>
      <c r="R5" s="620" t="s">
        <v>402</v>
      </c>
      <c r="S5" s="620" t="s">
        <v>403</v>
      </c>
      <c r="T5" s="620" t="s">
        <v>404</v>
      </c>
      <c r="U5" s="623" t="s">
        <v>405</v>
      </c>
      <c r="W5" s="802" t="s">
        <v>1</v>
      </c>
    </row>
    <row r="6" spans="1:23" s="3" customFormat="1" ht="14" x14ac:dyDescent="0.3">
      <c r="A6" s="800"/>
      <c r="B6" s="797"/>
      <c r="C6" s="125"/>
      <c r="D6" s="169"/>
      <c r="E6" s="125"/>
      <c r="G6" s="4"/>
      <c r="H6" s="4"/>
      <c r="I6" s="232"/>
      <c r="J6" s="232"/>
      <c r="K6" s="170"/>
      <c r="L6" s="4"/>
      <c r="M6" s="175" t="s">
        <v>398</v>
      </c>
      <c r="N6" s="4"/>
      <c r="O6" s="170"/>
      <c r="Q6" s="628" t="s">
        <v>390</v>
      </c>
      <c r="R6" s="621" t="s">
        <v>400</v>
      </c>
      <c r="S6" s="621" t="s">
        <v>392</v>
      </c>
      <c r="T6" s="621" t="s">
        <v>397</v>
      </c>
      <c r="U6" s="624" t="s">
        <v>406</v>
      </c>
      <c r="W6" s="803"/>
    </row>
    <row r="7" spans="1:23" s="3" customFormat="1" thickBot="1" x14ac:dyDescent="0.35">
      <c r="A7" s="801"/>
      <c r="B7" s="798"/>
      <c r="C7" s="124"/>
      <c r="D7" s="233">
        <v>45113</v>
      </c>
      <c r="E7" s="234" t="s">
        <v>297</v>
      </c>
      <c r="F7" s="595">
        <v>45291</v>
      </c>
      <c r="G7" s="235">
        <v>45303</v>
      </c>
      <c r="H7" s="236">
        <v>45413</v>
      </c>
      <c r="I7" s="594">
        <v>45474</v>
      </c>
      <c r="J7" s="600" t="s">
        <v>202</v>
      </c>
      <c r="K7" s="596" t="s">
        <v>385</v>
      </c>
      <c r="L7" s="249"/>
      <c r="M7" s="176" t="s">
        <v>386</v>
      </c>
      <c r="N7" s="171" t="s">
        <v>157</v>
      </c>
      <c r="O7" s="172" t="s">
        <v>158</v>
      </c>
      <c r="Q7" s="627" t="s">
        <v>391</v>
      </c>
      <c r="R7" s="622" t="s">
        <v>401</v>
      </c>
      <c r="S7" s="622" t="s">
        <v>393</v>
      </c>
      <c r="T7" s="622" t="s">
        <v>396</v>
      </c>
      <c r="U7" s="625" t="s">
        <v>407</v>
      </c>
      <c r="W7" s="804"/>
    </row>
    <row r="8" spans="1:23" s="3" customFormat="1" ht="14" x14ac:dyDescent="0.3">
      <c r="A8" s="126" t="s">
        <v>7</v>
      </c>
      <c r="B8" s="130" t="s">
        <v>8</v>
      </c>
      <c r="D8" s="237">
        <v>650</v>
      </c>
      <c r="E8" s="401">
        <v>650</v>
      </c>
      <c r="F8" s="402">
        <v>650</v>
      </c>
      <c r="G8" s="403">
        <v>650</v>
      </c>
      <c r="H8" s="238">
        <v>650</v>
      </c>
      <c r="I8" s="413">
        <f>H8</f>
        <v>650</v>
      </c>
      <c r="J8" s="601" t="s">
        <v>203</v>
      </c>
      <c r="K8" s="611"/>
      <c r="L8" s="250"/>
      <c r="M8" s="584">
        <f>E8/636</f>
        <v>1.0220125786163523</v>
      </c>
      <c r="N8" s="583">
        <f>H8/704.3</f>
        <v>0.92290217236972882</v>
      </c>
      <c r="O8" s="585">
        <f t="shared" ref="O8:O13" si="0">I8/781.7</f>
        <v>0.83152104387872583</v>
      </c>
      <c r="Q8" s="629">
        <v>650</v>
      </c>
      <c r="R8" s="631">
        <v>703.2</v>
      </c>
      <c r="S8" s="630">
        <v>1495.7700000000002</v>
      </c>
      <c r="T8" s="630">
        <v>692.56466666666677</v>
      </c>
      <c r="U8" s="661">
        <v>0.92434584755403859</v>
      </c>
      <c r="W8" s="130" t="s">
        <v>8</v>
      </c>
    </row>
    <row r="9" spans="1:23" s="3" customFormat="1" ht="14" x14ac:dyDescent="0.3">
      <c r="A9" s="127" t="s">
        <v>7</v>
      </c>
      <c r="B9" s="131" t="s">
        <v>9</v>
      </c>
      <c r="D9" s="239">
        <v>700</v>
      </c>
      <c r="E9" s="404">
        <v>700</v>
      </c>
      <c r="F9" s="405">
        <v>700</v>
      </c>
      <c r="G9" s="406">
        <v>700</v>
      </c>
      <c r="H9" s="240">
        <v>700</v>
      </c>
      <c r="I9" s="414">
        <f t="shared" ref="I9:I65" si="1">H9</f>
        <v>700</v>
      </c>
      <c r="J9" s="602" t="s">
        <v>203</v>
      </c>
      <c r="K9" s="609"/>
      <c r="L9" s="250"/>
      <c r="M9" s="586">
        <f t="shared" ref="M9:M72" si="2">E9/636</f>
        <v>1.10062893081761</v>
      </c>
      <c r="N9" s="581">
        <f t="shared" ref="N9:N72" si="3">H9/704.3</f>
        <v>0.99389464716740028</v>
      </c>
      <c r="O9" s="585">
        <f t="shared" si="0"/>
        <v>0.89548420110016624</v>
      </c>
      <c r="Q9" s="629">
        <v>700</v>
      </c>
      <c r="R9" s="631">
        <v>762</v>
      </c>
      <c r="S9" s="630">
        <v>1683.3333333333333</v>
      </c>
      <c r="T9" s="630">
        <v>708.51255813953492</v>
      </c>
      <c r="U9" s="661">
        <v>0.9186351706036745</v>
      </c>
      <c r="W9" s="131" t="s">
        <v>9</v>
      </c>
    </row>
    <row r="10" spans="1:23" s="3" customFormat="1" ht="14" x14ac:dyDescent="0.3">
      <c r="A10" s="127" t="s">
        <v>7</v>
      </c>
      <c r="B10" s="131" t="s">
        <v>10</v>
      </c>
      <c r="D10" s="239">
        <v>650</v>
      </c>
      <c r="E10" s="404">
        <v>650</v>
      </c>
      <c r="F10" s="405">
        <v>650</v>
      </c>
      <c r="G10" s="406">
        <v>650</v>
      </c>
      <c r="H10" s="240">
        <v>650</v>
      </c>
      <c r="I10" s="414">
        <f t="shared" si="1"/>
        <v>650</v>
      </c>
      <c r="J10" s="602" t="s">
        <v>203</v>
      </c>
      <c r="K10" s="609"/>
      <c r="L10" s="250"/>
      <c r="M10" s="586">
        <f t="shared" si="2"/>
        <v>1.0220125786163523</v>
      </c>
      <c r="N10" s="581">
        <f t="shared" si="3"/>
        <v>0.92290217236972882</v>
      </c>
      <c r="O10" s="585">
        <f t="shared" si="0"/>
        <v>0.83152104387872583</v>
      </c>
      <c r="Q10" s="629">
        <v>650</v>
      </c>
      <c r="R10" s="631">
        <v>850</v>
      </c>
      <c r="S10" s="630">
        <v>1472.5</v>
      </c>
      <c r="T10" s="630">
        <v>703.07225806451606</v>
      </c>
      <c r="U10" s="647">
        <v>0.76470588235294112</v>
      </c>
      <c r="W10" s="131" t="s">
        <v>10</v>
      </c>
    </row>
    <row r="11" spans="1:23" s="3" customFormat="1" ht="14" x14ac:dyDescent="0.3">
      <c r="A11" s="127" t="s">
        <v>7</v>
      </c>
      <c r="B11" s="131" t="s">
        <v>11</v>
      </c>
      <c r="D11" s="239">
        <v>700</v>
      </c>
      <c r="E11" s="404">
        <v>700</v>
      </c>
      <c r="F11" s="405">
        <v>700</v>
      </c>
      <c r="G11" s="406">
        <v>700</v>
      </c>
      <c r="H11" s="240">
        <v>700</v>
      </c>
      <c r="I11" s="414">
        <f t="shared" si="1"/>
        <v>700</v>
      </c>
      <c r="J11" s="602" t="s">
        <v>203</v>
      </c>
      <c r="K11" s="609"/>
      <c r="L11" s="250"/>
      <c r="M11" s="586">
        <f t="shared" si="2"/>
        <v>1.10062893081761</v>
      </c>
      <c r="N11" s="581">
        <f t="shared" si="3"/>
        <v>0.99389464716740028</v>
      </c>
      <c r="O11" s="585">
        <f t="shared" si="0"/>
        <v>0.89548420110016624</v>
      </c>
      <c r="Q11" s="629">
        <v>700</v>
      </c>
      <c r="R11" s="631">
        <v>733.5</v>
      </c>
      <c r="S11" s="630">
        <v>1448.6666666666667</v>
      </c>
      <c r="T11" s="630">
        <v>703.27640000000019</v>
      </c>
      <c r="U11" s="658">
        <v>0.95432856169052493</v>
      </c>
      <c r="W11" s="131" t="s">
        <v>11</v>
      </c>
    </row>
    <row r="12" spans="1:23" s="3" customFormat="1" ht="14" x14ac:dyDescent="0.3">
      <c r="A12" s="127" t="s">
        <v>7</v>
      </c>
      <c r="B12" s="131" t="s">
        <v>12</v>
      </c>
      <c r="D12" s="239">
        <v>650</v>
      </c>
      <c r="E12" s="404">
        <v>650</v>
      </c>
      <c r="F12" s="405">
        <v>650</v>
      </c>
      <c r="G12" s="406">
        <v>650</v>
      </c>
      <c r="H12" s="240">
        <v>650</v>
      </c>
      <c r="I12" s="414">
        <f t="shared" si="1"/>
        <v>650</v>
      </c>
      <c r="J12" s="602" t="s">
        <v>203</v>
      </c>
      <c r="K12" s="609"/>
      <c r="L12" s="250"/>
      <c r="M12" s="586">
        <f t="shared" si="2"/>
        <v>1.0220125786163523</v>
      </c>
      <c r="N12" s="581">
        <f t="shared" si="3"/>
        <v>0.92290217236972882</v>
      </c>
      <c r="O12" s="585">
        <f t="shared" si="0"/>
        <v>0.83152104387872583</v>
      </c>
      <c r="Q12" s="629">
        <v>650</v>
      </c>
      <c r="R12" s="638">
        <v>703.2</v>
      </c>
      <c r="S12" s="636">
        <v>1495.7700000000002</v>
      </c>
      <c r="T12" s="637">
        <v>671.88294117647047</v>
      </c>
      <c r="U12" s="661">
        <v>0.92434584755403859</v>
      </c>
      <c r="W12" s="131" t="s">
        <v>12</v>
      </c>
    </row>
    <row r="13" spans="1:23" s="3" customFormat="1" ht="14" x14ac:dyDescent="0.3">
      <c r="A13" s="127" t="s">
        <v>7</v>
      </c>
      <c r="B13" s="131" t="s">
        <v>13</v>
      </c>
      <c r="D13" s="239">
        <v>650</v>
      </c>
      <c r="E13" s="404">
        <v>650</v>
      </c>
      <c r="F13" s="405">
        <v>650</v>
      </c>
      <c r="G13" s="406">
        <v>650</v>
      </c>
      <c r="H13" s="240">
        <v>650</v>
      </c>
      <c r="I13" s="414">
        <f t="shared" si="1"/>
        <v>650</v>
      </c>
      <c r="J13" s="602" t="s">
        <v>203</v>
      </c>
      <c r="K13" s="609"/>
      <c r="L13" s="250"/>
      <c r="M13" s="586">
        <f t="shared" si="2"/>
        <v>1.0220125786163523</v>
      </c>
      <c r="N13" s="581">
        <f t="shared" si="3"/>
        <v>0.92290217236972882</v>
      </c>
      <c r="O13" s="585">
        <f t="shared" si="0"/>
        <v>0.83152104387872583</v>
      </c>
      <c r="Q13" s="629">
        <v>650</v>
      </c>
      <c r="R13" s="631">
        <v>662.5</v>
      </c>
      <c r="S13" s="630">
        <v>1313.3333333333333</v>
      </c>
      <c r="T13" s="630">
        <v>672.56666666666672</v>
      </c>
      <c r="U13" s="658">
        <v>0.98113207547169812</v>
      </c>
      <c r="W13" s="131" t="s">
        <v>13</v>
      </c>
    </row>
    <row r="14" spans="1:23" s="3" customFormat="1" ht="14" x14ac:dyDescent="0.3">
      <c r="A14" s="127" t="s">
        <v>7</v>
      </c>
      <c r="B14" s="131" t="s">
        <v>14</v>
      </c>
      <c r="D14" s="239" t="s">
        <v>153</v>
      </c>
      <c r="E14" s="404" t="s">
        <v>153</v>
      </c>
      <c r="F14" s="405" t="s">
        <v>153</v>
      </c>
      <c r="G14" s="406" t="s">
        <v>153</v>
      </c>
      <c r="H14" s="240" t="s">
        <v>153</v>
      </c>
      <c r="I14" s="414" t="str">
        <f t="shared" si="1"/>
        <v>650;750</v>
      </c>
      <c r="J14" s="603" t="s">
        <v>203</v>
      </c>
      <c r="K14" s="610"/>
      <c r="L14" s="173"/>
      <c r="M14" s="586">
        <f>656/636</f>
        <v>1.0314465408805031</v>
      </c>
      <c r="N14" s="581">
        <f>650/704.3</f>
        <v>0.92290217236972882</v>
      </c>
      <c r="O14" s="585">
        <f>650/781.7</f>
        <v>0.83152104387872583</v>
      </c>
      <c r="Q14" s="629">
        <v>650</v>
      </c>
      <c r="R14" s="631">
        <v>580</v>
      </c>
      <c r="S14" s="630">
        <v>1331.25</v>
      </c>
      <c r="T14" s="630">
        <v>615.38686046511646</v>
      </c>
      <c r="U14" s="656">
        <v>1.1206896551724137</v>
      </c>
      <c r="W14" s="131" t="s">
        <v>14</v>
      </c>
    </row>
    <row r="15" spans="1:23" s="3" customFormat="1" ht="14" x14ac:dyDescent="0.3">
      <c r="A15" s="127" t="s">
        <v>7</v>
      </c>
      <c r="B15" s="131" t="s">
        <v>15</v>
      </c>
      <c r="D15" s="239">
        <v>650</v>
      </c>
      <c r="E15" s="404">
        <v>650</v>
      </c>
      <c r="F15" s="405">
        <v>650</v>
      </c>
      <c r="G15" s="406">
        <v>650</v>
      </c>
      <c r="H15" s="240">
        <v>650</v>
      </c>
      <c r="I15" s="414">
        <f t="shared" si="1"/>
        <v>650</v>
      </c>
      <c r="J15" s="602" t="s">
        <v>203</v>
      </c>
      <c r="K15" s="609"/>
      <c r="L15" s="250"/>
      <c r="M15" s="586">
        <f t="shared" si="2"/>
        <v>1.0220125786163523</v>
      </c>
      <c r="N15" s="581">
        <f t="shared" si="3"/>
        <v>0.92290217236972882</v>
      </c>
      <c r="O15" s="585">
        <f t="shared" ref="O15:O32" si="4">I15/781.7</f>
        <v>0.83152104387872583</v>
      </c>
      <c r="Q15" s="629">
        <v>650</v>
      </c>
      <c r="R15" s="638">
        <v>650</v>
      </c>
      <c r="S15" s="636">
        <v>1250</v>
      </c>
      <c r="T15" s="630">
        <v>635.60095238095244</v>
      </c>
      <c r="U15" s="651">
        <v>1</v>
      </c>
      <c r="W15" s="131" t="s">
        <v>15</v>
      </c>
    </row>
    <row r="16" spans="1:23" s="3" customFormat="1" ht="14" x14ac:dyDescent="0.3">
      <c r="A16" s="127" t="s">
        <v>7</v>
      </c>
      <c r="B16" s="131" t="s">
        <v>16</v>
      </c>
      <c r="D16" s="239">
        <v>700</v>
      </c>
      <c r="E16" s="404">
        <v>700</v>
      </c>
      <c r="F16" s="405">
        <v>700</v>
      </c>
      <c r="G16" s="406">
        <v>700</v>
      </c>
      <c r="H16" s="240">
        <v>700</v>
      </c>
      <c r="I16" s="414">
        <f t="shared" si="1"/>
        <v>700</v>
      </c>
      <c r="J16" s="602" t="s">
        <v>203</v>
      </c>
      <c r="K16" s="609"/>
      <c r="L16" s="250"/>
      <c r="M16" s="586">
        <f t="shared" si="2"/>
        <v>1.10062893081761</v>
      </c>
      <c r="N16" s="581">
        <f t="shared" si="3"/>
        <v>0.99389464716740028</v>
      </c>
      <c r="O16" s="585">
        <f t="shared" si="4"/>
        <v>0.89548420110016624</v>
      </c>
      <c r="Q16" s="629">
        <v>700</v>
      </c>
      <c r="R16" s="631">
        <v>649</v>
      </c>
      <c r="S16" s="630">
        <v>1667.5</v>
      </c>
      <c r="T16" s="630">
        <v>658.5618279569893</v>
      </c>
      <c r="U16" s="654">
        <v>1.078582434514638</v>
      </c>
      <c r="W16" s="131" t="s">
        <v>16</v>
      </c>
    </row>
    <row r="17" spans="1:23" s="3" customFormat="1" ht="14" x14ac:dyDescent="0.3">
      <c r="A17" s="127" t="s">
        <v>7</v>
      </c>
      <c r="B17" s="131" t="s">
        <v>17</v>
      </c>
      <c r="D17" s="241">
        <v>400</v>
      </c>
      <c r="E17" s="407">
        <v>400</v>
      </c>
      <c r="F17" s="408">
        <v>400</v>
      </c>
      <c r="G17" s="409">
        <v>400</v>
      </c>
      <c r="H17" s="242">
        <v>500</v>
      </c>
      <c r="I17" s="816">
        <v>500</v>
      </c>
      <c r="J17" s="603" t="s">
        <v>204</v>
      </c>
      <c r="K17" s="599"/>
      <c r="L17" s="173"/>
      <c r="M17" s="586">
        <f t="shared" si="2"/>
        <v>0.62893081761006286</v>
      </c>
      <c r="N17" s="581">
        <f t="shared" si="3"/>
        <v>0.70992474797671457</v>
      </c>
      <c r="O17" s="585">
        <f t="shared" si="4"/>
        <v>0.63963157221440448</v>
      </c>
      <c r="Q17" s="629">
        <v>400</v>
      </c>
      <c r="R17" s="631">
        <v>785.5</v>
      </c>
      <c r="S17" s="630">
        <v>1513.3333333333333</v>
      </c>
      <c r="T17" s="630">
        <v>621.43157894736862</v>
      </c>
      <c r="U17" s="647">
        <v>0.50922978994271162</v>
      </c>
      <c r="W17" s="131" t="s">
        <v>17</v>
      </c>
    </row>
    <row r="18" spans="1:23" s="3" customFormat="1" ht="14" x14ac:dyDescent="0.3">
      <c r="A18" s="127" t="s">
        <v>7</v>
      </c>
      <c r="B18" s="131" t="s">
        <v>18</v>
      </c>
      <c r="D18" s="239">
        <v>650</v>
      </c>
      <c r="E18" s="404">
        <v>650</v>
      </c>
      <c r="F18" s="405">
        <v>650</v>
      </c>
      <c r="G18" s="406">
        <v>650</v>
      </c>
      <c r="H18" s="240">
        <v>650</v>
      </c>
      <c r="I18" s="414">
        <f t="shared" si="1"/>
        <v>650</v>
      </c>
      <c r="J18" s="602" t="s">
        <v>203</v>
      </c>
      <c r="K18" s="609"/>
      <c r="L18" s="250"/>
      <c r="M18" s="586">
        <f t="shared" si="2"/>
        <v>1.0220125786163523</v>
      </c>
      <c r="N18" s="581">
        <f t="shared" si="3"/>
        <v>0.92290217236972882</v>
      </c>
      <c r="O18" s="585">
        <f t="shared" si="4"/>
        <v>0.83152104387872583</v>
      </c>
      <c r="Q18" s="629">
        <v>650</v>
      </c>
      <c r="R18" s="631">
        <v>703.2</v>
      </c>
      <c r="S18" s="630">
        <v>1495.7700000000002</v>
      </c>
      <c r="T18" s="630">
        <v>729.78761904761905</v>
      </c>
      <c r="U18" s="661">
        <v>0.92434584755403859</v>
      </c>
      <c r="W18" s="131" t="s">
        <v>18</v>
      </c>
    </row>
    <row r="19" spans="1:23" s="3" customFormat="1" ht="14" x14ac:dyDescent="0.3">
      <c r="A19" s="127" t="s">
        <v>7</v>
      </c>
      <c r="B19" s="131" t="s">
        <v>19</v>
      </c>
      <c r="D19" s="239">
        <v>650</v>
      </c>
      <c r="E19" s="404">
        <v>650</v>
      </c>
      <c r="F19" s="405">
        <v>650</v>
      </c>
      <c r="G19" s="406">
        <v>650</v>
      </c>
      <c r="H19" s="240">
        <v>650</v>
      </c>
      <c r="I19" s="414">
        <f t="shared" si="1"/>
        <v>650</v>
      </c>
      <c r="J19" s="602" t="s">
        <v>203</v>
      </c>
      <c r="K19" s="609"/>
      <c r="L19" s="250"/>
      <c r="M19" s="586">
        <f t="shared" si="2"/>
        <v>1.0220125786163523</v>
      </c>
      <c r="N19" s="581">
        <f t="shared" si="3"/>
        <v>0.92290217236972882</v>
      </c>
      <c r="O19" s="585">
        <f t="shared" si="4"/>
        <v>0.83152104387872583</v>
      </c>
      <c r="Q19" s="629">
        <v>650</v>
      </c>
      <c r="R19" s="631">
        <v>703.2</v>
      </c>
      <c r="S19" s="630">
        <v>1495.7700000000002</v>
      </c>
      <c r="T19" s="630">
        <v>685.66666666666674</v>
      </c>
      <c r="U19" s="661">
        <v>0.92434584755403859</v>
      </c>
      <c r="W19" s="131" t="s">
        <v>19</v>
      </c>
    </row>
    <row r="20" spans="1:23" s="3" customFormat="1" ht="14" x14ac:dyDescent="0.3">
      <c r="A20" s="127" t="s">
        <v>7</v>
      </c>
      <c r="B20" s="131" t="s">
        <v>20</v>
      </c>
      <c r="D20" s="239">
        <v>700</v>
      </c>
      <c r="E20" s="404">
        <v>700</v>
      </c>
      <c r="F20" s="405">
        <v>700</v>
      </c>
      <c r="G20" s="406">
        <v>700</v>
      </c>
      <c r="H20" s="240">
        <v>700</v>
      </c>
      <c r="I20" s="414">
        <f t="shared" si="1"/>
        <v>700</v>
      </c>
      <c r="J20" s="602" t="s">
        <v>203</v>
      </c>
      <c r="K20" s="609"/>
      <c r="L20" s="250"/>
      <c r="M20" s="586">
        <f t="shared" si="2"/>
        <v>1.10062893081761</v>
      </c>
      <c r="N20" s="581">
        <f t="shared" si="3"/>
        <v>0.99389464716740028</v>
      </c>
      <c r="O20" s="585">
        <f t="shared" si="4"/>
        <v>0.89548420110016624</v>
      </c>
      <c r="Q20" s="629">
        <v>700</v>
      </c>
      <c r="R20" s="638">
        <v>703.2</v>
      </c>
      <c r="S20" s="636">
        <v>1495.7700000000002</v>
      </c>
      <c r="T20" s="630">
        <v>737.67142857142846</v>
      </c>
      <c r="U20" s="651">
        <v>0.99544937428896463</v>
      </c>
      <c r="W20" s="131" t="s">
        <v>20</v>
      </c>
    </row>
    <row r="21" spans="1:23" s="3" customFormat="1" ht="14" x14ac:dyDescent="0.3">
      <c r="A21" s="127" t="s">
        <v>7</v>
      </c>
      <c r="B21" s="131" t="s">
        <v>21</v>
      </c>
      <c r="D21" s="239">
        <v>650</v>
      </c>
      <c r="E21" s="404">
        <v>650</v>
      </c>
      <c r="F21" s="405">
        <v>650</v>
      </c>
      <c r="G21" s="406">
        <v>650</v>
      </c>
      <c r="H21" s="240">
        <v>650</v>
      </c>
      <c r="I21" s="414">
        <f t="shared" si="1"/>
        <v>650</v>
      </c>
      <c r="J21" s="602" t="s">
        <v>203</v>
      </c>
      <c r="K21" s="609"/>
      <c r="L21" s="250"/>
      <c r="M21" s="586">
        <f t="shared" si="2"/>
        <v>1.0220125786163523</v>
      </c>
      <c r="N21" s="581">
        <f t="shared" si="3"/>
        <v>0.92290217236972882</v>
      </c>
      <c r="O21" s="585">
        <f t="shared" si="4"/>
        <v>0.83152104387872583</v>
      </c>
      <c r="Q21" s="629">
        <v>650</v>
      </c>
      <c r="R21" s="631">
        <v>703.2</v>
      </c>
      <c r="S21" s="630">
        <v>1495.7700000000002</v>
      </c>
      <c r="T21" s="630">
        <v>677.95468749999986</v>
      </c>
      <c r="U21" s="661">
        <v>0.92434584755403859</v>
      </c>
      <c r="W21" s="131" t="s">
        <v>21</v>
      </c>
    </row>
    <row r="22" spans="1:23" s="3" customFormat="1" ht="14" x14ac:dyDescent="0.3">
      <c r="A22" s="127" t="s">
        <v>7</v>
      </c>
      <c r="B22" s="131" t="s">
        <v>22</v>
      </c>
      <c r="D22" s="239">
        <v>734</v>
      </c>
      <c r="E22" s="404">
        <v>734</v>
      </c>
      <c r="F22" s="405">
        <v>734</v>
      </c>
      <c r="G22" s="406">
        <v>734</v>
      </c>
      <c r="H22" s="240">
        <v>734</v>
      </c>
      <c r="I22" s="414">
        <f t="shared" si="1"/>
        <v>734</v>
      </c>
      <c r="J22" s="603" t="s">
        <v>205</v>
      </c>
      <c r="K22" s="608"/>
      <c r="L22" s="173"/>
      <c r="M22" s="586">
        <f t="shared" si="2"/>
        <v>1.1540880503144655</v>
      </c>
      <c r="N22" s="581">
        <f t="shared" si="3"/>
        <v>1.0421695300298168</v>
      </c>
      <c r="O22" s="585">
        <f t="shared" si="4"/>
        <v>0.93897914801074578</v>
      </c>
      <c r="Q22" s="629">
        <v>734</v>
      </c>
      <c r="R22" s="631">
        <v>699.86363636363637</v>
      </c>
      <c r="S22" s="630">
        <v>1530.6212121212122</v>
      </c>
      <c r="T22" s="630">
        <v>704.6566436464085</v>
      </c>
      <c r="U22" s="654">
        <v>1.0487757355328959</v>
      </c>
      <c r="W22" s="131" t="s">
        <v>22</v>
      </c>
    </row>
    <row r="23" spans="1:23" s="3" customFormat="1" ht="14" x14ac:dyDescent="0.3">
      <c r="A23" s="127" t="s">
        <v>7</v>
      </c>
      <c r="B23" s="131" t="s">
        <v>23</v>
      </c>
      <c r="D23" s="239">
        <v>650</v>
      </c>
      <c r="E23" s="404">
        <v>650</v>
      </c>
      <c r="F23" s="405">
        <v>650</v>
      </c>
      <c r="G23" s="406">
        <v>650</v>
      </c>
      <c r="H23" s="240">
        <v>650</v>
      </c>
      <c r="I23" s="414">
        <f t="shared" si="1"/>
        <v>650</v>
      </c>
      <c r="J23" s="602" t="s">
        <v>203</v>
      </c>
      <c r="K23" s="609"/>
      <c r="L23" s="250"/>
      <c r="M23" s="586">
        <f t="shared" si="2"/>
        <v>1.0220125786163523</v>
      </c>
      <c r="N23" s="581">
        <f t="shared" si="3"/>
        <v>0.92290217236972882</v>
      </c>
      <c r="O23" s="585">
        <f t="shared" si="4"/>
        <v>0.83152104387872583</v>
      </c>
      <c r="Q23" s="629">
        <v>650</v>
      </c>
      <c r="R23" s="631">
        <v>731</v>
      </c>
      <c r="S23" s="630">
        <v>1566.6666666666665</v>
      </c>
      <c r="T23" s="630">
        <v>718.41000000000008</v>
      </c>
      <c r="U23" s="663">
        <v>0.8891928864569083</v>
      </c>
      <c r="W23" s="131" t="s">
        <v>23</v>
      </c>
    </row>
    <row r="24" spans="1:23" s="3" customFormat="1" ht="14" x14ac:dyDescent="0.3">
      <c r="A24" s="127" t="s">
        <v>24</v>
      </c>
      <c r="B24" s="131" t="s">
        <v>25</v>
      </c>
      <c r="D24" s="239">
        <v>640</v>
      </c>
      <c r="E24" s="404">
        <v>640</v>
      </c>
      <c r="F24" s="405">
        <v>640</v>
      </c>
      <c r="G24" s="406">
        <v>640</v>
      </c>
      <c r="H24" s="240">
        <v>640</v>
      </c>
      <c r="I24" s="414">
        <f t="shared" si="1"/>
        <v>640</v>
      </c>
      <c r="J24" s="602" t="s">
        <v>203</v>
      </c>
      <c r="K24" s="609"/>
      <c r="L24" s="250"/>
      <c r="M24" s="586">
        <f t="shared" si="2"/>
        <v>1.0062893081761006</v>
      </c>
      <c r="N24" s="581">
        <f t="shared" si="3"/>
        <v>0.90870367741019453</v>
      </c>
      <c r="O24" s="585">
        <f t="shared" si="4"/>
        <v>0.81872841243443772</v>
      </c>
      <c r="Q24" s="629">
        <v>640</v>
      </c>
      <c r="R24" s="638">
        <v>651</v>
      </c>
      <c r="S24" s="636">
        <v>1281.6666666666667</v>
      </c>
      <c r="T24" s="630">
        <v>705.50134831460673</v>
      </c>
      <c r="U24" s="658">
        <v>0.98310291858678955</v>
      </c>
      <c r="W24" s="131" t="s">
        <v>25</v>
      </c>
    </row>
    <row r="25" spans="1:23" s="3" customFormat="1" ht="14" x14ac:dyDescent="0.3">
      <c r="A25" s="127" t="s">
        <v>26</v>
      </c>
      <c r="B25" s="131" t="s">
        <v>27</v>
      </c>
      <c r="D25" s="239">
        <v>545</v>
      </c>
      <c r="E25" s="404">
        <v>545</v>
      </c>
      <c r="F25" s="405">
        <v>545</v>
      </c>
      <c r="G25" s="406">
        <v>545</v>
      </c>
      <c r="H25" s="242">
        <v>645</v>
      </c>
      <c r="I25" s="414">
        <f t="shared" si="1"/>
        <v>645</v>
      </c>
      <c r="J25" s="602" t="s">
        <v>203</v>
      </c>
      <c r="K25" s="609"/>
      <c r="L25" s="250"/>
      <c r="M25" s="586">
        <f t="shared" si="2"/>
        <v>0.85691823899371067</v>
      </c>
      <c r="N25" s="581">
        <f t="shared" si="3"/>
        <v>0.91580292488996173</v>
      </c>
      <c r="O25" s="585">
        <f t="shared" si="4"/>
        <v>0.82512472815658178</v>
      </c>
      <c r="Q25" s="629">
        <v>545</v>
      </c>
      <c r="R25" s="638">
        <v>645</v>
      </c>
      <c r="S25" s="636">
        <v>1300</v>
      </c>
      <c r="T25" s="630">
        <v>631.53840000000002</v>
      </c>
      <c r="U25" s="663">
        <v>0.84496124031007747</v>
      </c>
      <c r="W25" s="131" t="s">
        <v>27</v>
      </c>
    </row>
    <row r="26" spans="1:23" s="3" customFormat="1" ht="14" x14ac:dyDescent="0.3">
      <c r="A26" s="127" t="s">
        <v>26</v>
      </c>
      <c r="B26" s="131" t="s">
        <v>28</v>
      </c>
      <c r="D26" s="239">
        <v>600</v>
      </c>
      <c r="E26" s="404">
        <v>600</v>
      </c>
      <c r="F26" s="405">
        <v>600</v>
      </c>
      <c r="G26" s="406">
        <v>600</v>
      </c>
      <c r="H26" s="240">
        <v>600</v>
      </c>
      <c r="I26" s="414">
        <f t="shared" si="1"/>
        <v>600</v>
      </c>
      <c r="J26" s="603" t="s">
        <v>206</v>
      </c>
      <c r="K26" s="606"/>
      <c r="L26" s="173"/>
      <c r="M26" s="586">
        <f t="shared" si="2"/>
        <v>0.94339622641509435</v>
      </c>
      <c r="N26" s="581">
        <f t="shared" si="3"/>
        <v>0.85190969757205737</v>
      </c>
      <c r="O26" s="585">
        <f t="shared" si="4"/>
        <v>0.7675578866572853</v>
      </c>
      <c r="Q26" s="629">
        <v>600</v>
      </c>
      <c r="R26" s="631">
        <v>583</v>
      </c>
      <c r="S26" s="630">
        <v>1126.3333333333335</v>
      </c>
      <c r="T26" s="630">
        <v>669.55581818181815</v>
      </c>
      <c r="U26" s="651">
        <v>1.0291595197255574</v>
      </c>
      <c r="W26" s="131" t="s">
        <v>28</v>
      </c>
    </row>
    <row r="27" spans="1:23" s="3" customFormat="1" ht="14" x14ac:dyDescent="0.3">
      <c r="A27" s="127" t="s">
        <v>26</v>
      </c>
      <c r="B27" s="131" t="s">
        <v>29</v>
      </c>
      <c r="D27" s="239">
        <v>650</v>
      </c>
      <c r="E27" s="404">
        <v>650</v>
      </c>
      <c r="F27" s="405">
        <v>650</v>
      </c>
      <c r="G27" s="406">
        <v>650</v>
      </c>
      <c r="H27" s="240">
        <v>650</v>
      </c>
      <c r="I27" s="414">
        <f t="shared" si="1"/>
        <v>650</v>
      </c>
      <c r="J27" s="602" t="s">
        <v>203</v>
      </c>
      <c r="K27" s="609"/>
      <c r="L27" s="250"/>
      <c r="M27" s="586">
        <f t="shared" si="2"/>
        <v>1.0220125786163523</v>
      </c>
      <c r="N27" s="581">
        <f t="shared" si="3"/>
        <v>0.92290217236972882</v>
      </c>
      <c r="O27" s="585">
        <f t="shared" si="4"/>
        <v>0.83152104387872583</v>
      </c>
      <c r="Q27" s="629">
        <v>650</v>
      </c>
      <c r="R27" s="631">
        <v>591.16666666666663</v>
      </c>
      <c r="S27" s="630">
        <v>1142.7083333333333</v>
      </c>
      <c r="T27" s="630">
        <v>657.22515822784794</v>
      </c>
      <c r="U27" s="656">
        <v>1.0995207217366789</v>
      </c>
      <c r="W27" s="131" t="s">
        <v>29</v>
      </c>
    </row>
    <row r="28" spans="1:23" s="3" customFormat="1" ht="14" x14ac:dyDescent="0.3">
      <c r="A28" s="127" t="s">
        <v>26</v>
      </c>
      <c r="B28" s="131" t="s">
        <v>30</v>
      </c>
      <c r="D28" s="239">
        <v>550</v>
      </c>
      <c r="E28" s="404">
        <v>550</v>
      </c>
      <c r="F28" s="405">
        <v>550</v>
      </c>
      <c r="G28" s="406">
        <v>550</v>
      </c>
      <c r="H28" s="240">
        <v>550</v>
      </c>
      <c r="I28" s="414">
        <f t="shared" si="1"/>
        <v>550</v>
      </c>
      <c r="J28" s="603" t="s">
        <v>206</v>
      </c>
      <c r="K28" s="606"/>
      <c r="L28" s="173"/>
      <c r="M28" s="586">
        <f t="shared" si="2"/>
        <v>0.86477987421383651</v>
      </c>
      <c r="N28" s="581">
        <f t="shared" si="3"/>
        <v>0.78091722277438591</v>
      </c>
      <c r="O28" s="585">
        <f t="shared" si="4"/>
        <v>0.70359472943584489</v>
      </c>
      <c r="Q28" s="629">
        <v>550</v>
      </c>
      <c r="R28" s="631">
        <v>659</v>
      </c>
      <c r="S28" s="630">
        <v>1225</v>
      </c>
      <c r="T28" s="630">
        <v>654.20161904761903</v>
      </c>
      <c r="U28" s="663">
        <v>0.83459787556904397</v>
      </c>
      <c r="W28" s="131" t="s">
        <v>30</v>
      </c>
    </row>
    <row r="29" spans="1:23" s="3" customFormat="1" ht="14" x14ac:dyDescent="0.3">
      <c r="A29" s="127" t="s">
        <v>26</v>
      </c>
      <c r="B29" s="131" t="s">
        <v>31</v>
      </c>
      <c r="D29" s="239">
        <v>700</v>
      </c>
      <c r="E29" s="404">
        <v>700</v>
      </c>
      <c r="F29" s="405">
        <v>700</v>
      </c>
      <c r="G29" s="406">
        <v>700</v>
      </c>
      <c r="H29" s="240">
        <v>700</v>
      </c>
      <c r="I29" s="414">
        <f t="shared" si="1"/>
        <v>700</v>
      </c>
      <c r="J29" s="602" t="s">
        <v>203</v>
      </c>
      <c r="K29" s="609"/>
      <c r="L29" s="250"/>
      <c r="M29" s="586">
        <f t="shared" si="2"/>
        <v>1.10062893081761</v>
      </c>
      <c r="N29" s="581">
        <f t="shared" si="3"/>
        <v>0.99389464716740028</v>
      </c>
      <c r="O29" s="585">
        <f t="shared" si="4"/>
        <v>0.89548420110016624</v>
      </c>
      <c r="Q29" s="629">
        <v>700</v>
      </c>
      <c r="R29" s="631">
        <v>475.3</v>
      </c>
      <c r="S29" s="630">
        <v>1052.8571428571429</v>
      </c>
      <c r="T29" s="630">
        <v>649.8173841059604</v>
      </c>
      <c r="U29" s="650">
        <v>1.4727540500736376</v>
      </c>
      <c r="W29" s="131" t="s">
        <v>31</v>
      </c>
    </row>
    <row r="30" spans="1:23" s="3" customFormat="1" ht="14" x14ac:dyDescent="0.3">
      <c r="A30" s="127" t="s">
        <v>26</v>
      </c>
      <c r="B30" s="131" t="s">
        <v>32</v>
      </c>
      <c r="D30" s="239">
        <v>500</v>
      </c>
      <c r="E30" s="404">
        <v>500</v>
      </c>
      <c r="F30" s="405">
        <v>500</v>
      </c>
      <c r="G30" s="406">
        <v>500</v>
      </c>
      <c r="H30" s="240">
        <v>500</v>
      </c>
      <c r="I30" s="414">
        <f t="shared" si="1"/>
        <v>500</v>
      </c>
      <c r="J30" s="603" t="s">
        <v>204</v>
      </c>
      <c r="K30" s="599"/>
      <c r="L30" s="173"/>
      <c r="M30" s="586">
        <f t="shared" si="2"/>
        <v>0.78616352201257866</v>
      </c>
      <c r="N30" s="581">
        <f t="shared" si="3"/>
        <v>0.70992474797671457</v>
      </c>
      <c r="O30" s="585">
        <f t="shared" si="4"/>
        <v>0.63963157221440448</v>
      </c>
      <c r="Q30" s="629">
        <v>500</v>
      </c>
      <c r="R30" s="631">
        <v>590</v>
      </c>
      <c r="S30" s="630">
        <v>1200</v>
      </c>
      <c r="T30" s="630">
        <v>658.5719444444444</v>
      </c>
      <c r="U30" s="663">
        <v>0.84745762711864403</v>
      </c>
      <c r="W30" s="131" t="s">
        <v>32</v>
      </c>
    </row>
    <row r="31" spans="1:23" s="3" customFormat="1" ht="14" x14ac:dyDescent="0.3">
      <c r="A31" s="127" t="s">
        <v>26</v>
      </c>
      <c r="B31" s="131" t="s">
        <v>33</v>
      </c>
      <c r="D31" s="239">
        <v>600</v>
      </c>
      <c r="E31" s="404">
        <v>600</v>
      </c>
      <c r="F31" s="405">
        <v>600</v>
      </c>
      <c r="G31" s="406">
        <v>600</v>
      </c>
      <c r="H31" s="242">
        <v>650</v>
      </c>
      <c r="I31" s="414">
        <f t="shared" si="1"/>
        <v>650</v>
      </c>
      <c r="J31" s="602" t="s">
        <v>203</v>
      </c>
      <c r="K31" s="609"/>
      <c r="L31" s="250"/>
      <c r="M31" s="586">
        <f t="shared" si="2"/>
        <v>0.94339622641509435</v>
      </c>
      <c r="N31" s="581">
        <f t="shared" si="3"/>
        <v>0.92290217236972882</v>
      </c>
      <c r="O31" s="585">
        <f t="shared" si="4"/>
        <v>0.83152104387872583</v>
      </c>
      <c r="Q31" s="629">
        <v>600</v>
      </c>
      <c r="R31" s="631">
        <v>570.73181818181831</v>
      </c>
      <c r="S31" s="630">
        <v>1144.4962121212122</v>
      </c>
      <c r="T31" s="630">
        <v>684.64178571428579</v>
      </c>
      <c r="U31" s="654">
        <v>1.051281847070348</v>
      </c>
      <c r="W31" s="131" t="s">
        <v>33</v>
      </c>
    </row>
    <row r="32" spans="1:23" s="3" customFormat="1" ht="14" x14ac:dyDescent="0.3">
      <c r="A32" s="127" t="s">
        <v>26</v>
      </c>
      <c r="B32" s="131" t="s">
        <v>34</v>
      </c>
      <c r="D32" s="239">
        <v>650</v>
      </c>
      <c r="E32" s="404">
        <v>650</v>
      </c>
      <c r="F32" s="405">
        <v>650</v>
      </c>
      <c r="G32" s="406">
        <v>650</v>
      </c>
      <c r="H32" s="240">
        <v>650</v>
      </c>
      <c r="I32" s="414">
        <f t="shared" si="1"/>
        <v>650</v>
      </c>
      <c r="J32" s="602" t="s">
        <v>203</v>
      </c>
      <c r="K32" s="609"/>
      <c r="L32" s="250"/>
      <c r="M32" s="586">
        <f t="shared" si="2"/>
        <v>1.0220125786163523</v>
      </c>
      <c r="N32" s="581">
        <f t="shared" si="3"/>
        <v>0.92290217236972882</v>
      </c>
      <c r="O32" s="585">
        <f t="shared" si="4"/>
        <v>0.83152104387872583</v>
      </c>
      <c r="Q32" s="629">
        <v>650</v>
      </c>
      <c r="R32" s="631">
        <v>570.73181818181831</v>
      </c>
      <c r="S32" s="630">
        <v>1144.4962121212122</v>
      </c>
      <c r="T32" s="630">
        <v>669.09135135135114</v>
      </c>
      <c r="U32" s="656">
        <v>1.1388886676595438</v>
      </c>
      <c r="W32" s="131" t="s">
        <v>34</v>
      </c>
    </row>
    <row r="33" spans="1:23" s="3" customFormat="1" ht="14" x14ac:dyDescent="0.3">
      <c r="A33" s="127" t="s">
        <v>35</v>
      </c>
      <c r="B33" s="131" t="s">
        <v>36</v>
      </c>
      <c r="D33" s="239" t="s">
        <v>154</v>
      </c>
      <c r="E33" s="404" t="s">
        <v>154</v>
      </c>
      <c r="F33" s="405" t="s">
        <v>154</v>
      </c>
      <c r="G33" s="406" t="s">
        <v>154</v>
      </c>
      <c r="H33" s="240" t="str">
        <f>G33</f>
        <v>ei kehtesta</v>
      </c>
      <c r="I33" s="414" t="str">
        <f t="shared" si="1"/>
        <v>ei kehtesta</v>
      </c>
      <c r="J33" s="603" t="s">
        <v>154</v>
      </c>
      <c r="K33" s="597"/>
      <c r="L33" s="173"/>
      <c r="M33" s="579" t="s">
        <v>369</v>
      </c>
      <c r="N33" s="582" t="s">
        <v>369</v>
      </c>
      <c r="O33" s="590" t="s">
        <v>369</v>
      </c>
      <c r="Q33" s="639" t="s">
        <v>369</v>
      </c>
      <c r="R33" s="633">
        <v>554</v>
      </c>
      <c r="S33" s="634">
        <v>1106.1111111111111</v>
      </c>
      <c r="T33" s="634">
        <v>664.06985221674915</v>
      </c>
      <c r="U33" s="635">
        <v>0</v>
      </c>
      <c r="W33" s="131" t="s">
        <v>36</v>
      </c>
    </row>
    <row r="34" spans="1:23" s="3" customFormat="1" ht="14" x14ac:dyDescent="0.3">
      <c r="A34" s="127" t="s">
        <v>35</v>
      </c>
      <c r="B34" s="131" t="s">
        <v>37</v>
      </c>
      <c r="D34" s="239">
        <v>525</v>
      </c>
      <c r="E34" s="404">
        <v>525</v>
      </c>
      <c r="F34" s="405">
        <v>525</v>
      </c>
      <c r="G34" s="406">
        <v>525</v>
      </c>
      <c r="H34" s="242">
        <v>570</v>
      </c>
      <c r="I34" s="414">
        <f t="shared" si="1"/>
        <v>570</v>
      </c>
      <c r="J34" s="603" t="s">
        <v>206</v>
      </c>
      <c r="K34" s="606"/>
      <c r="L34" s="173"/>
      <c r="M34" s="586">
        <f t="shared" si="2"/>
        <v>0.82547169811320753</v>
      </c>
      <c r="N34" s="581">
        <f t="shared" si="3"/>
        <v>0.80931421269345449</v>
      </c>
      <c r="O34" s="585">
        <f t="shared" ref="O34:O61" si="5">I34/781.7</f>
        <v>0.7291799923244211</v>
      </c>
      <c r="Q34" s="632">
        <v>525</v>
      </c>
      <c r="R34" s="633">
        <v>598</v>
      </c>
      <c r="S34" s="634">
        <v>1205</v>
      </c>
      <c r="T34" s="634">
        <v>594.24971830985919</v>
      </c>
      <c r="U34" s="664">
        <v>0.87792642140468224</v>
      </c>
      <c r="W34" s="131" t="s">
        <v>37</v>
      </c>
    </row>
    <row r="35" spans="1:23" s="3" customFormat="1" ht="14" x14ac:dyDescent="0.3">
      <c r="A35" s="127" t="s">
        <v>35</v>
      </c>
      <c r="B35" s="131" t="s">
        <v>38</v>
      </c>
      <c r="D35" s="239">
        <v>700</v>
      </c>
      <c r="E35" s="404">
        <v>700</v>
      </c>
      <c r="F35" s="405">
        <v>700</v>
      </c>
      <c r="G35" s="406">
        <v>700</v>
      </c>
      <c r="H35" s="242">
        <v>600</v>
      </c>
      <c r="I35" s="414">
        <f t="shared" si="1"/>
        <v>600</v>
      </c>
      <c r="J35" s="603" t="s">
        <v>206</v>
      </c>
      <c r="K35" s="606"/>
      <c r="L35" s="173"/>
      <c r="M35" s="586">
        <f t="shared" si="2"/>
        <v>1.10062893081761</v>
      </c>
      <c r="N35" s="581">
        <f t="shared" si="3"/>
        <v>0.85190969757205737</v>
      </c>
      <c r="O35" s="646">
        <f t="shared" si="5"/>
        <v>0.7675578866572853</v>
      </c>
      <c r="Q35" s="632">
        <v>700</v>
      </c>
      <c r="R35" s="633">
        <v>861.25</v>
      </c>
      <c r="S35" s="634">
        <v>1550</v>
      </c>
      <c r="T35" s="634">
        <v>654.49593220339</v>
      </c>
      <c r="U35" s="664">
        <v>0.81277213352685052</v>
      </c>
      <c r="W35" s="131" t="s">
        <v>38</v>
      </c>
    </row>
    <row r="36" spans="1:23" s="3" customFormat="1" ht="14" x14ac:dyDescent="0.3">
      <c r="A36" s="127" t="s">
        <v>39</v>
      </c>
      <c r="B36" s="131" t="s">
        <v>40</v>
      </c>
      <c r="D36" s="239">
        <v>710</v>
      </c>
      <c r="E36" s="404">
        <v>710</v>
      </c>
      <c r="F36" s="405">
        <v>710</v>
      </c>
      <c r="G36" s="406">
        <v>710</v>
      </c>
      <c r="H36" s="240">
        <v>710</v>
      </c>
      <c r="I36" s="414">
        <f t="shared" si="1"/>
        <v>710</v>
      </c>
      <c r="J36" s="603" t="s">
        <v>205</v>
      </c>
      <c r="K36" s="608"/>
      <c r="L36" s="173"/>
      <c r="M36" s="586">
        <f t="shared" si="2"/>
        <v>1.1163522012578617</v>
      </c>
      <c r="N36" s="581">
        <f t="shared" si="3"/>
        <v>1.0080931421269346</v>
      </c>
      <c r="O36" s="585">
        <f t="shared" si="5"/>
        <v>0.90827683254445435</v>
      </c>
      <c r="Q36" s="640">
        <v>710</v>
      </c>
      <c r="R36" s="631">
        <v>662</v>
      </c>
      <c r="S36" s="630">
        <v>1265</v>
      </c>
      <c r="T36" s="630">
        <v>622.44824074074074</v>
      </c>
      <c r="U36" s="654">
        <v>1.0725075528700907</v>
      </c>
      <c r="W36" s="131" t="s">
        <v>40</v>
      </c>
    </row>
    <row r="37" spans="1:23" s="3" customFormat="1" ht="14" x14ac:dyDescent="0.3">
      <c r="A37" s="127" t="s">
        <v>39</v>
      </c>
      <c r="B37" s="131" t="s">
        <v>41</v>
      </c>
      <c r="D37" s="239">
        <v>590</v>
      </c>
      <c r="E37" s="404">
        <v>590</v>
      </c>
      <c r="F37" s="405">
        <v>590</v>
      </c>
      <c r="G37" s="406">
        <v>590</v>
      </c>
      <c r="H37" s="240">
        <v>590</v>
      </c>
      <c r="I37" s="414">
        <f t="shared" si="1"/>
        <v>590</v>
      </c>
      <c r="J37" s="603" t="s">
        <v>206</v>
      </c>
      <c r="K37" s="606"/>
      <c r="L37" s="173"/>
      <c r="M37" s="586">
        <f t="shared" si="2"/>
        <v>0.92767295597484278</v>
      </c>
      <c r="N37" s="581">
        <f t="shared" si="3"/>
        <v>0.83771120261252308</v>
      </c>
      <c r="O37" s="585">
        <f t="shared" si="5"/>
        <v>0.75476525521299731</v>
      </c>
      <c r="Q37" s="629">
        <v>590</v>
      </c>
      <c r="R37" s="631">
        <v>640</v>
      </c>
      <c r="S37" s="630">
        <v>1200</v>
      </c>
      <c r="T37" s="630">
        <v>653.46785714285738</v>
      </c>
      <c r="U37" s="661">
        <v>0.921875</v>
      </c>
      <c r="W37" s="131" t="s">
        <v>41</v>
      </c>
    </row>
    <row r="38" spans="1:23" s="3" customFormat="1" ht="14" x14ac:dyDescent="0.3">
      <c r="A38" s="127" t="s">
        <v>39</v>
      </c>
      <c r="B38" s="131" t="s">
        <v>42</v>
      </c>
      <c r="D38" s="239">
        <v>554</v>
      </c>
      <c r="E38" s="404">
        <v>554</v>
      </c>
      <c r="F38" s="405">
        <v>554</v>
      </c>
      <c r="G38" s="406">
        <v>554</v>
      </c>
      <c r="H38" s="240">
        <v>554</v>
      </c>
      <c r="I38" s="414">
        <f t="shared" si="1"/>
        <v>554</v>
      </c>
      <c r="J38" s="603" t="s">
        <v>206</v>
      </c>
      <c r="K38" s="606"/>
      <c r="L38" s="173"/>
      <c r="M38" s="586">
        <f t="shared" si="2"/>
        <v>0.87106918238993714</v>
      </c>
      <c r="N38" s="581">
        <f t="shared" si="3"/>
        <v>0.78659662075819969</v>
      </c>
      <c r="O38" s="585">
        <f t="shared" si="5"/>
        <v>0.70871178201356011</v>
      </c>
      <c r="Q38" s="629">
        <v>554</v>
      </c>
      <c r="R38" s="631">
        <v>552</v>
      </c>
      <c r="S38" s="630">
        <v>1267.2916666666665</v>
      </c>
      <c r="T38" s="630">
        <v>672.08171874999982</v>
      </c>
      <c r="U38" s="651">
        <v>1.0036231884057971</v>
      </c>
      <c r="W38" s="131" t="s">
        <v>42</v>
      </c>
    </row>
    <row r="39" spans="1:23" s="3" customFormat="1" ht="14" x14ac:dyDescent="0.3">
      <c r="A39" s="127" t="s">
        <v>43</v>
      </c>
      <c r="B39" s="131" t="s">
        <v>44</v>
      </c>
      <c r="D39" s="239">
        <v>600</v>
      </c>
      <c r="E39" s="404">
        <v>600</v>
      </c>
      <c r="F39" s="405">
        <v>600</v>
      </c>
      <c r="G39" s="406">
        <v>600</v>
      </c>
      <c r="H39" s="240">
        <v>600</v>
      </c>
      <c r="I39" s="414">
        <f t="shared" si="1"/>
        <v>600</v>
      </c>
      <c r="J39" s="603" t="s">
        <v>206</v>
      </c>
      <c r="K39" s="606"/>
      <c r="L39" s="173"/>
      <c r="M39" s="586">
        <f t="shared" si="2"/>
        <v>0.94339622641509435</v>
      </c>
      <c r="N39" s="581">
        <f t="shared" si="3"/>
        <v>0.85190969757205737</v>
      </c>
      <c r="O39" s="585">
        <f t="shared" si="5"/>
        <v>0.7675578866572853</v>
      </c>
      <c r="Q39" s="632">
        <v>600</v>
      </c>
      <c r="R39" s="633">
        <v>750</v>
      </c>
      <c r="S39" s="634">
        <v>1095</v>
      </c>
      <c r="T39" s="634">
        <v>671.50418032786888</v>
      </c>
      <c r="U39" s="664">
        <v>0.8</v>
      </c>
      <c r="W39" s="131" t="s">
        <v>44</v>
      </c>
    </row>
    <row r="40" spans="1:23" s="3" customFormat="1" ht="14" x14ac:dyDescent="0.3">
      <c r="A40" s="127" t="s">
        <v>43</v>
      </c>
      <c r="B40" s="131" t="s">
        <v>45</v>
      </c>
      <c r="D40" s="239">
        <v>575</v>
      </c>
      <c r="E40" s="404">
        <v>575</v>
      </c>
      <c r="F40" s="405">
        <v>575</v>
      </c>
      <c r="G40" s="406">
        <v>575</v>
      </c>
      <c r="H40" s="240">
        <v>575</v>
      </c>
      <c r="I40" s="414">
        <f t="shared" si="1"/>
        <v>575</v>
      </c>
      <c r="J40" s="603" t="s">
        <v>206</v>
      </c>
      <c r="K40" s="606"/>
      <c r="L40" s="173"/>
      <c r="M40" s="586">
        <f t="shared" si="2"/>
        <v>0.90408805031446537</v>
      </c>
      <c r="N40" s="581">
        <f t="shared" si="3"/>
        <v>0.81641346017322169</v>
      </c>
      <c r="O40" s="585">
        <f t="shared" si="5"/>
        <v>0.73557630804656515</v>
      </c>
      <c r="Q40" s="632">
        <v>575</v>
      </c>
      <c r="R40" s="633">
        <v>608.75</v>
      </c>
      <c r="S40" s="634">
        <v>1117.2916666666667</v>
      </c>
      <c r="T40" s="634">
        <v>623.1355555555557</v>
      </c>
      <c r="U40" s="662">
        <v>0.94455852156057496</v>
      </c>
      <c r="W40" s="131" t="s">
        <v>45</v>
      </c>
    </row>
    <row r="41" spans="1:23" s="3" customFormat="1" ht="14" x14ac:dyDescent="0.3">
      <c r="A41" s="127" t="s">
        <v>43</v>
      </c>
      <c r="B41" s="131" t="s">
        <v>46</v>
      </c>
      <c r="D41" s="239">
        <v>600</v>
      </c>
      <c r="E41" s="404">
        <v>600</v>
      </c>
      <c r="F41" s="405">
        <v>600</v>
      </c>
      <c r="G41" s="406">
        <v>600</v>
      </c>
      <c r="H41" s="240">
        <v>600</v>
      </c>
      <c r="I41" s="414">
        <f t="shared" si="1"/>
        <v>600</v>
      </c>
      <c r="J41" s="603" t="s">
        <v>206</v>
      </c>
      <c r="K41" s="606"/>
      <c r="L41" s="173"/>
      <c r="M41" s="586">
        <f t="shared" si="2"/>
        <v>0.94339622641509435</v>
      </c>
      <c r="N41" s="581">
        <f t="shared" si="3"/>
        <v>0.85190969757205737</v>
      </c>
      <c r="O41" s="585">
        <f t="shared" si="5"/>
        <v>0.7675578866572853</v>
      </c>
      <c r="Q41" s="632">
        <v>600</v>
      </c>
      <c r="R41" s="633">
        <v>637</v>
      </c>
      <c r="S41" s="634">
        <v>1112.8333333333335</v>
      </c>
      <c r="T41" s="634">
        <v>673.6136553672319</v>
      </c>
      <c r="U41" s="662">
        <v>0.9419152276295133</v>
      </c>
      <c r="W41" s="131" t="s">
        <v>46</v>
      </c>
    </row>
    <row r="42" spans="1:23" s="3" customFormat="1" ht="14" x14ac:dyDescent="0.3">
      <c r="A42" s="127" t="s">
        <v>47</v>
      </c>
      <c r="B42" s="131" t="s">
        <v>48</v>
      </c>
      <c r="D42" s="239">
        <v>650</v>
      </c>
      <c r="E42" s="404">
        <v>650</v>
      </c>
      <c r="F42" s="405">
        <v>650</v>
      </c>
      <c r="G42" s="406">
        <v>650</v>
      </c>
      <c r="H42" s="240">
        <v>650</v>
      </c>
      <c r="I42" s="414">
        <f t="shared" si="1"/>
        <v>650</v>
      </c>
      <c r="J42" s="602" t="s">
        <v>203</v>
      </c>
      <c r="K42" s="609"/>
      <c r="L42" s="250"/>
      <c r="M42" s="586">
        <f t="shared" si="2"/>
        <v>1.0220125786163523</v>
      </c>
      <c r="N42" s="581">
        <f t="shared" si="3"/>
        <v>0.92290217236972882</v>
      </c>
      <c r="O42" s="585">
        <f t="shared" si="5"/>
        <v>0.83152104387872583</v>
      </c>
      <c r="Q42" s="632">
        <v>650</v>
      </c>
      <c r="R42" s="633">
        <v>650</v>
      </c>
      <c r="S42" s="634">
        <v>1250</v>
      </c>
      <c r="T42" s="634">
        <v>656.34179487179472</v>
      </c>
      <c r="U42" s="652">
        <v>1</v>
      </c>
      <c r="W42" s="131" t="s">
        <v>48</v>
      </c>
    </row>
    <row r="43" spans="1:23" s="3" customFormat="1" ht="14" x14ac:dyDescent="0.3">
      <c r="A43" s="127" t="s">
        <v>47</v>
      </c>
      <c r="B43" s="131" t="s">
        <v>49</v>
      </c>
      <c r="D43" s="239">
        <v>650</v>
      </c>
      <c r="E43" s="404">
        <v>650</v>
      </c>
      <c r="F43" s="405">
        <v>650</v>
      </c>
      <c r="G43" s="406">
        <v>650</v>
      </c>
      <c r="H43" s="240">
        <v>650</v>
      </c>
      <c r="I43" s="414">
        <f t="shared" si="1"/>
        <v>650</v>
      </c>
      <c r="J43" s="602" t="s">
        <v>203</v>
      </c>
      <c r="K43" s="609"/>
      <c r="L43" s="250"/>
      <c r="M43" s="586">
        <f t="shared" si="2"/>
        <v>1.0220125786163523</v>
      </c>
      <c r="N43" s="581">
        <f t="shared" si="3"/>
        <v>0.92290217236972882</v>
      </c>
      <c r="O43" s="585">
        <f t="shared" si="5"/>
        <v>0.83152104387872583</v>
      </c>
      <c r="Q43" s="632">
        <v>650</v>
      </c>
      <c r="R43" s="633">
        <v>558.49166666666667</v>
      </c>
      <c r="S43" s="634">
        <v>1106.4833333333331</v>
      </c>
      <c r="T43" s="634">
        <v>626.14491525423716</v>
      </c>
      <c r="U43" s="657">
        <v>1.1638490577298974</v>
      </c>
      <c r="W43" s="131" t="s">
        <v>49</v>
      </c>
    </row>
    <row r="44" spans="1:23" s="3" customFormat="1" ht="14" x14ac:dyDescent="0.3">
      <c r="A44" s="127" t="s">
        <v>47</v>
      </c>
      <c r="B44" s="131" t="s">
        <v>50</v>
      </c>
      <c r="D44" s="239">
        <v>650</v>
      </c>
      <c r="E44" s="404">
        <v>650</v>
      </c>
      <c r="F44" s="405">
        <v>650</v>
      </c>
      <c r="G44" s="406">
        <v>650</v>
      </c>
      <c r="H44" s="240">
        <v>650</v>
      </c>
      <c r="I44" s="414">
        <f t="shared" si="1"/>
        <v>650</v>
      </c>
      <c r="J44" s="602" t="s">
        <v>203</v>
      </c>
      <c r="K44" s="609"/>
      <c r="L44" s="250"/>
      <c r="M44" s="586">
        <f t="shared" si="2"/>
        <v>1.0220125786163523</v>
      </c>
      <c r="N44" s="581">
        <f t="shared" si="3"/>
        <v>0.92290217236972882</v>
      </c>
      <c r="O44" s="585">
        <f t="shared" si="5"/>
        <v>0.83152104387872583</v>
      </c>
      <c r="Q44" s="632">
        <v>650</v>
      </c>
      <c r="R44" s="633">
        <v>465</v>
      </c>
      <c r="S44" s="634">
        <v>1050</v>
      </c>
      <c r="T44" s="634">
        <v>672.80767441860473</v>
      </c>
      <c r="U44" s="649">
        <v>1.3978494623655915</v>
      </c>
      <c r="W44" s="131" t="s">
        <v>50</v>
      </c>
    </row>
    <row r="45" spans="1:23" s="3" customFormat="1" ht="14" x14ac:dyDescent="0.3">
      <c r="A45" s="127" t="s">
        <v>47</v>
      </c>
      <c r="B45" s="131" t="s">
        <v>51</v>
      </c>
      <c r="D45" s="239">
        <v>650</v>
      </c>
      <c r="E45" s="404">
        <v>650</v>
      </c>
      <c r="F45" s="405">
        <v>650</v>
      </c>
      <c r="G45" s="406">
        <v>650</v>
      </c>
      <c r="H45" s="240">
        <v>650</v>
      </c>
      <c r="I45" s="414">
        <f t="shared" si="1"/>
        <v>650</v>
      </c>
      <c r="J45" s="602" t="s">
        <v>203</v>
      </c>
      <c r="K45" s="609"/>
      <c r="L45" s="250"/>
      <c r="M45" s="586">
        <f t="shared" si="2"/>
        <v>1.0220125786163523</v>
      </c>
      <c r="N45" s="581">
        <f t="shared" si="3"/>
        <v>0.92290217236972882</v>
      </c>
      <c r="O45" s="585">
        <f t="shared" si="5"/>
        <v>0.83152104387872583</v>
      </c>
      <c r="Q45" s="632">
        <v>650</v>
      </c>
      <c r="R45" s="633">
        <v>614.66666666666663</v>
      </c>
      <c r="S45" s="634">
        <v>1190.1111111111111</v>
      </c>
      <c r="T45" s="634">
        <v>676.2273333333336</v>
      </c>
      <c r="U45" s="655">
        <v>1.0574837310195229</v>
      </c>
      <c r="W45" s="131" t="s">
        <v>51</v>
      </c>
    </row>
    <row r="46" spans="1:23" s="3" customFormat="1" ht="14" x14ac:dyDescent="0.3">
      <c r="A46" s="127" t="s">
        <v>47</v>
      </c>
      <c r="B46" s="131" t="s">
        <v>52</v>
      </c>
      <c r="D46" s="239">
        <v>600</v>
      </c>
      <c r="E46" s="404">
        <v>600</v>
      </c>
      <c r="F46" s="405">
        <v>600</v>
      </c>
      <c r="G46" s="406">
        <v>600</v>
      </c>
      <c r="H46" s="240">
        <v>600</v>
      </c>
      <c r="I46" s="414">
        <f t="shared" si="1"/>
        <v>600</v>
      </c>
      <c r="J46" s="603" t="s">
        <v>206</v>
      </c>
      <c r="K46" s="606"/>
      <c r="L46" s="173"/>
      <c r="M46" s="586">
        <f t="shared" si="2"/>
        <v>0.94339622641509435</v>
      </c>
      <c r="N46" s="581">
        <f t="shared" si="3"/>
        <v>0.85190969757205737</v>
      </c>
      <c r="O46" s="585">
        <f t="shared" si="5"/>
        <v>0.7675578866572853</v>
      </c>
      <c r="Q46" s="632">
        <v>600</v>
      </c>
      <c r="R46" s="633">
        <v>612.05555555555554</v>
      </c>
      <c r="S46" s="634">
        <v>1180.5555555555554</v>
      </c>
      <c r="T46" s="634">
        <v>649.60131782945757</v>
      </c>
      <c r="U46" s="659">
        <v>0.98030316783153315</v>
      </c>
      <c r="W46" s="131" t="s">
        <v>52</v>
      </c>
    </row>
    <row r="47" spans="1:23" s="3" customFormat="1" ht="14" x14ac:dyDescent="0.3">
      <c r="A47" s="127" t="s">
        <v>47</v>
      </c>
      <c r="B47" s="131" t="s">
        <v>53</v>
      </c>
      <c r="D47" s="239">
        <v>535</v>
      </c>
      <c r="E47" s="404">
        <v>535</v>
      </c>
      <c r="F47" s="410">
        <v>535</v>
      </c>
      <c r="G47" s="406">
        <v>620</v>
      </c>
      <c r="H47" s="240">
        <v>620</v>
      </c>
      <c r="I47" s="414">
        <f t="shared" si="1"/>
        <v>620</v>
      </c>
      <c r="J47" s="602" t="s">
        <v>203</v>
      </c>
      <c r="K47" s="609"/>
      <c r="L47" s="250"/>
      <c r="M47" s="586">
        <f t="shared" si="2"/>
        <v>0.8411949685534591</v>
      </c>
      <c r="N47" s="581">
        <f t="shared" si="3"/>
        <v>0.88030668749112595</v>
      </c>
      <c r="O47" s="585">
        <f t="shared" si="5"/>
        <v>0.79314314954586151</v>
      </c>
      <c r="Q47" s="632">
        <v>535</v>
      </c>
      <c r="R47" s="633">
        <v>469</v>
      </c>
      <c r="S47" s="634">
        <v>960</v>
      </c>
      <c r="T47" s="634">
        <v>653.98542857142854</v>
      </c>
      <c r="U47" s="657">
        <v>1.1407249466950959</v>
      </c>
      <c r="W47" s="131" t="s">
        <v>53</v>
      </c>
    </row>
    <row r="48" spans="1:23" s="3" customFormat="1" ht="14" x14ac:dyDescent="0.3">
      <c r="A48" s="127" t="s">
        <v>47</v>
      </c>
      <c r="B48" s="131" t="s">
        <v>54</v>
      </c>
      <c r="D48" s="239">
        <v>650</v>
      </c>
      <c r="E48" s="404">
        <v>650</v>
      </c>
      <c r="F48" s="405">
        <v>650</v>
      </c>
      <c r="G48" s="406">
        <v>650</v>
      </c>
      <c r="H48" s="240">
        <v>650</v>
      </c>
      <c r="I48" s="414">
        <f t="shared" si="1"/>
        <v>650</v>
      </c>
      <c r="J48" s="602" t="s">
        <v>203</v>
      </c>
      <c r="K48" s="609"/>
      <c r="L48" s="250"/>
      <c r="M48" s="586">
        <f t="shared" si="2"/>
        <v>1.0220125786163523</v>
      </c>
      <c r="N48" s="581">
        <f t="shared" si="3"/>
        <v>0.92290217236972882</v>
      </c>
      <c r="O48" s="585">
        <f t="shared" si="5"/>
        <v>0.83152104387872583</v>
      </c>
      <c r="Q48" s="632">
        <v>650</v>
      </c>
      <c r="R48" s="633">
        <v>520.125</v>
      </c>
      <c r="S48" s="634">
        <v>1038.6458333333335</v>
      </c>
      <c r="T48" s="634">
        <v>693.3608571428573</v>
      </c>
      <c r="U48" s="649">
        <v>1.2496995914443643</v>
      </c>
      <c r="W48" s="131" t="s">
        <v>54</v>
      </c>
    </row>
    <row r="49" spans="1:23" s="3" customFormat="1" ht="14" x14ac:dyDescent="0.3">
      <c r="A49" s="127" t="s">
        <v>47</v>
      </c>
      <c r="B49" s="131" t="s">
        <v>55</v>
      </c>
      <c r="D49" s="239">
        <v>550</v>
      </c>
      <c r="E49" s="404">
        <v>550</v>
      </c>
      <c r="F49" s="405">
        <v>550</v>
      </c>
      <c r="G49" s="406">
        <v>550</v>
      </c>
      <c r="H49" s="240">
        <v>550</v>
      </c>
      <c r="I49" s="414">
        <f t="shared" si="1"/>
        <v>550</v>
      </c>
      <c r="J49" s="603" t="s">
        <v>206</v>
      </c>
      <c r="K49" s="606"/>
      <c r="L49" s="173"/>
      <c r="M49" s="586">
        <f t="shared" si="2"/>
        <v>0.86477987421383651</v>
      </c>
      <c r="N49" s="581">
        <f t="shared" si="3"/>
        <v>0.78091722277438591</v>
      </c>
      <c r="O49" s="585">
        <f t="shared" si="5"/>
        <v>0.70359472943584489</v>
      </c>
      <c r="Q49" s="632">
        <v>550</v>
      </c>
      <c r="R49" s="633">
        <v>506.66666666666669</v>
      </c>
      <c r="S49" s="634">
        <v>1033.8055555555554</v>
      </c>
      <c r="T49" s="634">
        <v>581.55810810810806</v>
      </c>
      <c r="U49" s="655">
        <v>1.0855263157894737</v>
      </c>
      <c r="W49" s="131" t="s">
        <v>55</v>
      </c>
    </row>
    <row r="50" spans="1:23" s="3" customFormat="1" ht="14" x14ac:dyDescent="0.3">
      <c r="A50" s="127" t="s">
        <v>56</v>
      </c>
      <c r="B50" s="131" t="s">
        <v>57</v>
      </c>
      <c r="D50" s="239">
        <v>630</v>
      </c>
      <c r="E50" s="404">
        <v>630</v>
      </c>
      <c r="F50" s="405">
        <v>630</v>
      </c>
      <c r="G50" s="406">
        <v>630</v>
      </c>
      <c r="H50" s="240">
        <v>630</v>
      </c>
      <c r="I50" s="414">
        <f t="shared" si="1"/>
        <v>630</v>
      </c>
      <c r="J50" s="602" t="s">
        <v>203</v>
      </c>
      <c r="K50" s="609"/>
      <c r="L50" s="250"/>
      <c r="M50" s="586">
        <f t="shared" si="2"/>
        <v>0.99056603773584906</v>
      </c>
      <c r="N50" s="581">
        <f t="shared" si="3"/>
        <v>0.89450518245066024</v>
      </c>
      <c r="O50" s="585">
        <f t="shared" si="5"/>
        <v>0.80593578099014962</v>
      </c>
      <c r="Q50" s="632">
        <v>630</v>
      </c>
      <c r="R50" s="633">
        <v>590</v>
      </c>
      <c r="S50" s="634">
        <v>1260.2083333333333</v>
      </c>
      <c r="T50" s="634">
        <v>601.58300884955747</v>
      </c>
      <c r="U50" s="655">
        <v>1.0677966101694916</v>
      </c>
      <c r="W50" s="131" t="s">
        <v>57</v>
      </c>
    </row>
    <row r="51" spans="1:23" s="3" customFormat="1" ht="14" x14ac:dyDescent="0.3">
      <c r="A51" s="127" t="s">
        <v>56</v>
      </c>
      <c r="B51" s="131" t="s">
        <v>58</v>
      </c>
      <c r="D51" s="241">
        <v>480</v>
      </c>
      <c r="E51" s="407">
        <v>480</v>
      </c>
      <c r="F51" s="408">
        <v>480</v>
      </c>
      <c r="G51" s="409">
        <v>480</v>
      </c>
      <c r="H51" s="407">
        <v>480</v>
      </c>
      <c r="I51" s="817">
        <v>480</v>
      </c>
      <c r="J51" s="603" t="s">
        <v>204</v>
      </c>
      <c r="K51" s="599"/>
      <c r="L51" s="173"/>
      <c r="M51" s="586">
        <f t="shared" si="2"/>
        <v>0.75471698113207553</v>
      </c>
      <c r="N51" s="581">
        <f t="shared" si="3"/>
        <v>0.68152775805764598</v>
      </c>
      <c r="O51" s="585">
        <f t="shared" si="5"/>
        <v>0.61404630932582827</v>
      </c>
      <c r="Q51" s="632">
        <v>480</v>
      </c>
      <c r="R51" s="633">
        <v>650</v>
      </c>
      <c r="S51" s="634">
        <v>1300</v>
      </c>
      <c r="T51" s="634">
        <v>703.78285714285721</v>
      </c>
      <c r="U51" s="648">
        <v>0.7384615384615385</v>
      </c>
      <c r="W51" s="131" t="s">
        <v>58</v>
      </c>
    </row>
    <row r="52" spans="1:23" s="3" customFormat="1" ht="14" x14ac:dyDescent="0.3">
      <c r="A52" s="127" t="s">
        <v>56</v>
      </c>
      <c r="B52" s="131" t="s">
        <v>59</v>
      </c>
      <c r="D52" s="241">
        <v>475</v>
      </c>
      <c r="E52" s="407">
        <v>475</v>
      </c>
      <c r="F52" s="408">
        <v>380</v>
      </c>
      <c r="G52" s="409">
        <v>380</v>
      </c>
      <c r="H52" s="407">
        <v>380</v>
      </c>
      <c r="I52" s="817">
        <v>380</v>
      </c>
      <c r="J52" s="603" t="s">
        <v>204</v>
      </c>
      <c r="K52" s="599"/>
      <c r="L52" s="173"/>
      <c r="M52" s="586">
        <f t="shared" si="2"/>
        <v>0.74685534591194969</v>
      </c>
      <c r="N52" s="581">
        <f t="shared" si="3"/>
        <v>0.53954280846230307</v>
      </c>
      <c r="O52" s="585">
        <f t="shared" si="5"/>
        <v>0.48611999488294738</v>
      </c>
      <c r="Q52" s="632">
        <v>475</v>
      </c>
      <c r="R52" s="633">
        <v>575.15</v>
      </c>
      <c r="S52" s="634">
        <v>1261.25</v>
      </c>
      <c r="T52" s="634">
        <v>651.17352380952377</v>
      </c>
      <c r="U52" s="664">
        <v>0.82587151177953577</v>
      </c>
      <c r="W52" s="131" t="s">
        <v>59</v>
      </c>
    </row>
    <row r="53" spans="1:23" s="3" customFormat="1" ht="14" x14ac:dyDescent="0.3">
      <c r="A53" s="127" t="s">
        <v>60</v>
      </c>
      <c r="B53" s="131" t="s">
        <v>61</v>
      </c>
      <c r="D53" s="239">
        <v>545</v>
      </c>
      <c r="E53" s="404">
        <v>545</v>
      </c>
      <c r="F53" s="405">
        <v>545</v>
      </c>
      <c r="G53" s="411">
        <v>545</v>
      </c>
      <c r="H53" s="404">
        <v>545</v>
      </c>
      <c r="I53" s="414">
        <f t="shared" si="1"/>
        <v>545</v>
      </c>
      <c r="J53" s="603" t="s">
        <v>206</v>
      </c>
      <c r="K53" s="606"/>
      <c r="L53" s="173"/>
      <c r="M53" s="586">
        <f t="shared" si="2"/>
        <v>0.85691823899371067</v>
      </c>
      <c r="N53" s="581">
        <f t="shared" si="3"/>
        <v>0.77381797529461882</v>
      </c>
      <c r="O53" s="585">
        <f t="shared" si="5"/>
        <v>0.69719841371370084</v>
      </c>
      <c r="Q53" s="632">
        <v>545</v>
      </c>
      <c r="R53" s="633">
        <v>545</v>
      </c>
      <c r="S53" s="634">
        <v>1412.5</v>
      </c>
      <c r="T53" s="634">
        <v>683.85053571428591</v>
      </c>
      <c r="U53" s="652">
        <v>1</v>
      </c>
      <c r="W53" s="131" t="s">
        <v>61</v>
      </c>
    </row>
    <row r="54" spans="1:23" s="3" customFormat="1" ht="14" x14ac:dyDescent="0.3">
      <c r="A54" s="127" t="s">
        <v>60</v>
      </c>
      <c r="B54" s="131" t="s">
        <v>62</v>
      </c>
      <c r="D54" s="239">
        <v>600</v>
      </c>
      <c r="E54" s="404">
        <v>600</v>
      </c>
      <c r="F54" s="405">
        <v>600</v>
      </c>
      <c r="G54" s="411">
        <v>600</v>
      </c>
      <c r="H54" s="404">
        <v>600</v>
      </c>
      <c r="I54" s="414">
        <f t="shared" si="1"/>
        <v>600</v>
      </c>
      <c r="J54" s="603" t="s">
        <v>206</v>
      </c>
      <c r="K54" s="606"/>
      <c r="L54" s="173"/>
      <c r="M54" s="586">
        <f t="shared" si="2"/>
        <v>0.94339622641509435</v>
      </c>
      <c r="N54" s="581">
        <f t="shared" si="3"/>
        <v>0.85190969757205737</v>
      </c>
      <c r="O54" s="585">
        <f t="shared" si="5"/>
        <v>0.7675578866572853</v>
      </c>
      <c r="Q54" s="632">
        <v>600</v>
      </c>
      <c r="R54" s="633">
        <v>570.63481481481483</v>
      </c>
      <c r="S54" s="634">
        <v>1162.4537037037037</v>
      </c>
      <c r="T54" s="634">
        <v>581.09749999999997</v>
      </c>
      <c r="U54" s="655">
        <v>1.0514605565990833</v>
      </c>
      <c r="W54" s="131" t="s">
        <v>62</v>
      </c>
    </row>
    <row r="55" spans="1:23" s="3" customFormat="1" ht="14" x14ac:dyDescent="0.3">
      <c r="A55" s="127" t="s">
        <v>60</v>
      </c>
      <c r="B55" s="131" t="s">
        <v>63</v>
      </c>
      <c r="D55" s="241">
        <v>465</v>
      </c>
      <c r="E55" s="407">
        <v>465</v>
      </c>
      <c r="F55" s="408">
        <v>465</v>
      </c>
      <c r="G55" s="409">
        <v>465</v>
      </c>
      <c r="H55" s="407">
        <v>465</v>
      </c>
      <c r="I55" s="817">
        <v>465</v>
      </c>
      <c r="J55" s="603" t="s">
        <v>204</v>
      </c>
      <c r="K55" s="599"/>
      <c r="L55" s="173"/>
      <c r="M55" s="586">
        <f t="shared" si="2"/>
        <v>0.73113207547169812</v>
      </c>
      <c r="N55" s="581">
        <f t="shared" si="3"/>
        <v>0.66023001561834449</v>
      </c>
      <c r="O55" s="585">
        <f t="shared" si="5"/>
        <v>0.59485736215939611</v>
      </c>
      <c r="Q55" s="632">
        <v>465</v>
      </c>
      <c r="R55" s="633">
        <v>570</v>
      </c>
      <c r="S55" s="634">
        <v>1079.5625</v>
      </c>
      <c r="T55" s="634">
        <v>654.13901408450693</v>
      </c>
      <c r="U55" s="664">
        <v>0.81578947368421051</v>
      </c>
      <c r="W55" s="131" t="s">
        <v>63</v>
      </c>
    </row>
    <row r="56" spans="1:23" s="3" customFormat="1" ht="14" x14ac:dyDescent="0.3">
      <c r="A56" s="127" t="s">
        <v>60</v>
      </c>
      <c r="B56" s="131" t="s">
        <v>64</v>
      </c>
      <c r="D56" s="239">
        <v>550</v>
      </c>
      <c r="E56" s="404">
        <v>550</v>
      </c>
      <c r="F56" s="405">
        <v>550</v>
      </c>
      <c r="G56" s="406">
        <v>550</v>
      </c>
      <c r="H56" s="240">
        <v>550</v>
      </c>
      <c r="I56" s="414">
        <f t="shared" si="1"/>
        <v>550</v>
      </c>
      <c r="J56" s="603" t="s">
        <v>206</v>
      </c>
      <c r="K56" s="606"/>
      <c r="L56" s="173"/>
      <c r="M56" s="586">
        <f t="shared" si="2"/>
        <v>0.86477987421383651</v>
      </c>
      <c r="N56" s="581">
        <f t="shared" si="3"/>
        <v>0.78091722277438591</v>
      </c>
      <c r="O56" s="585">
        <f t="shared" si="5"/>
        <v>0.70359472943584489</v>
      </c>
      <c r="Q56" s="632">
        <v>550</v>
      </c>
      <c r="R56" s="633">
        <v>545.625</v>
      </c>
      <c r="S56" s="634">
        <v>1037.125</v>
      </c>
      <c r="T56" s="634">
        <v>682.80512820512809</v>
      </c>
      <c r="U56" s="652">
        <v>1.0080183276059564</v>
      </c>
      <c r="W56" s="131" t="s">
        <v>64</v>
      </c>
    </row>
    <row r="57" spans="1:23" s="3" customFormat="1" ht="14" x14ac:dyDescent="0.3">
      <c r="A57" s="127" t="s">
        <v>60</v>
      </c>
      <c r="B57" s="131" t="s">
        <v>65</v>
      </c>
      <c r="D57" s="239">
        <v>585</v>
      </c>
      <c r="E57" s="404">
        <v>585</v>
      </c>
      <c r="F57" s="405">
        <v>585</v>
      </c>
      <c r="G57" s="406">
        <v>585</v>
      </c>
      <c r="H57" s="240">
        <v>585</v>
      </c>
      <c r="I57" s="414">
        <f t="shared" si="1"/>
        <v>585</v>
      </c>
      <c r="J57" s="603" t="s">
        <v>206</v>
      </c>
      <c r="K57" s="606"/>
      <c r="L57" s="173"/>
      <c r="M57" s="586">
        <f t="shared" si="2"/>
        <v>0.91981132075471694</v>
      </c>
      <c r="N57" s="581">
        <f t="shared" si="3"/>
        <v>0.83061195513275599</v>
      </c>
      <c r="O57" s="585">
        <f t="shared" si="5"/>
        <v>0.74836893949085326</v>
      </c>
      <c r="Q57" s="632">
        <v>585</v>
      </c>
      <c r="R57" s="633">
        <v>580.91399999999999</v>
      </c>
      <c r="S57" s="634">
        <v>1256.3499999999999</v>
      </c>
      <c r="T57" s="634">
        <v>687.71103313840206</v>
      </c>
      <c r="U57" s="652">
        <v>1.0070337433768166</v>
      </c>
      <c r="W57" s="131" t="s">
        <v>65</v>
      </c>
    </row>
    <row r="58" spans="1:23" s="3" customFormat="1" ht="14" x14ac:dyDescent="0.3">
      <c r="A58" s="127" t="s">
        <v>60</v>
      </c>
      <c r="B58" s="131" t="s">
        <v>66</v>
      </c>
      <c r="D58" s="239">
        <v>500</v>
      </c>
      <c r="E58" s="404">
        <v>500</v>
      </c>
      <c r="F58" s="405">
        <v>500</v>
      </c>
      <c r="G58" s="406">
        <v>500</v>
      </c>
      <c r="H58" s="240">
        <v>500</v>
      </c>
      <c r="I58" s="414">
        <f t="shared" si="1"/>
        <v>500</v>
      </c>
      <c r="J58" s="603" t="s">
        <v>204</v>
      </c>
      <c r="K58" s="599"/>
      <c r="L58" s="173"/>
      <c r="M58" s="586">
        <f t="shared" si="2"/>
        <v>0.78616352201257866</v>
      </c>
      <c r="N58" s="581">
        <f t="shared" si="3"/>
        <v>0.70992474797671457</v>
      </c>
      <c r="O58" s="585">
        <f t="shared" si="5"/>
        <v>0.63963157221440448</v>
      </c>
      <c r="Q58" s="632">
        <v>500</v>
      </c>
      <c r="R58" s="633">
        <v>619.33333333333337</v>
      </c>
      <c r="S58" s="634">
        <v>1170</v>
      </c>
      <c r="T58" s="634">
        <v>657.92266666666671</v>
      </c>
      <c r="U58" s="664">
        <v>0.80731969860064579</v>
      </c>
      <c r="W58" s="131" t="s">
        <v>66</v>
      </c>
    </row>
    <row r="59" spans="1:23" s="3" customFormat="1" ht="14" x14ac:dyDescent="0.3">
      <c r="A59" s="127" t="s">
        <v>60</v>
      </c>
      <c r="B59" s="131" t="s">
        <v>67</v>
      </c>
      <c r="D59" s="239">
        <v>550</v>
      </c>
      <c r="E59" s="404">
        <v>550</v>
      </c>
      <c r="F59" s="405">
        <v>550</v>
      </c>
      <c r="G59" s="406">
        <v>550</v>
      </c>
      <c r="H59" s="240">
        <v>550</v>
      </c>
      <c r="I59" s="414">
        <f t="shared" si="1"/>
        <v>550</v>
      </c>
      <c r="J59" s="603" t="s">
        <v>206</v>
      </c>
      <c r="K59" s="606"/>
      <c r="L59" s="173"/>
      <c r="M59" s="586">
        <f t="shared" si="2"/>
        <v>0.86477987421383651</v>
      </c>
      <c r="N59" s="581">
        <f t="shared" si="3"/>
        <v>0.78091722277438591</v>
      </c>
      <c r="O59" s="585">
        <f t="shared" si="5"/>
        <v>0.70359472943584489</v>
      </c>
      <c r="Q59" s="632">
        <v>550</v>
      </c>
      <c r="R59" s="633">
        <v>550</v>
      </c>
      <c r="S59" s="634">
        <v>1285</v>
      </c>
      <c r="T59" s="634">
        <v>636.10071428571416</v>
      </c>
      <c r="U59" s="652">
        <v>1</v>
      </c>
      <c r="W59" s="131" t="s">
        <v>67</v>
      </c>
    </row>
    <row r="60" spans="1:23" s="3" customFormat="1" ht="14" x14ac:dyDescent="0.3">
      <c r="A60" s="127" t="s">
        <v>68</v>
      </c>
      <c r="B60" s="131" t="s">
        <v>69</v>
      </c>
      <c r="D60" s="239">
        <v>600</v>
      </c>
      <c r="E60" s="404">
        <v>600</v>
      </c>
      <c r="F60" s="405">
        <v>600</v>
      </c>
      <c r="G60" s="406">
        <v>600</v>
      </c>
      <c r="H60" s="240">
        <v>600</v>
      </c>
      <c r="I60" s="414">
        <f t="shared" si="1"/>
        <v>600</v>
      </c>
      <c r="J60" s="603" t="s">
        <v>206</v>
      </c>
      <c r="K60" s="606"/>
      <c r="L60" s="173"/>
      <c r="M60" s="586">
        <f t="shared" si="2"/>
        <v>0.94339622641509435</v>
      </c>
      <c r="N60" s="581">
        <f t="shared" si="3"/>
        <v>0.85190969757205737</v>
      </c>
      <c r="O60" s="585">
        <f t="shared" si="5"/>
        <v>0.7675578866572853</v>
      </c>
      <c r="Q60" s="632">
        <v>600</v>
      </c>
      <c r="R60" s="633">
        <v>660</v>
      </c>
      <c r="S60" s="634">
        <v>1118.5555555555554</v>
      </c>
      <c r="T60" s="634">
        <v>657.52236363636359</v>
      </c>
      <c r="U60" s="662">
        <v>0.90909090909090906</v>
      </c>
      <c r="W60" s="131" t="s">
        <v>69</v>
      </c>
    </row>
    <row r="61" spans="1:23" s="3" customFormat="1" ht="14" x14ac:dyDescent="0.3">
      <c r="A61" s="127" t="s">
        <v>68</v>
      </c>
      <c r="B61" s="131" t="s">
        <v>70</v>
      </c>
      <c r="D61" s="239">
        <v>595</v>
      </c>
      <c r="E61" s="404">
        <v>595</v>
      </c>
      <c r="F61" s="405">
        <v>595</v>
      </c>
      <c r="G61" s="406">
        <v>595</v>
      </c>
      <c r="H61" s="240">
        <v>595</v>
      </c>
      <c r="I61" s="414">
        <f t="shared" si="1"/>
        <v>595</v>
      </c>
      <c r="J61" s="603" t="s">
        <v>206</v>
      </c>
      <c r="K61" s="606"/>
      <c r="L61" s="173"/>
      <c r="M61" s="586">
        <f t="shared" si="2"/>
        <v>0.93553459119496851</v>
      </c>
      <c r="N61" s="581">
        <f t="shared" si="3"/>
        <v>0.84481045009229028</v>
      </c>
      <c r="O61" s="585">
        <f t="shared" si="5"/>
        <v>0.76116157093514136</v>
      </c>
      <c r="Q61" s="632">
        <v>595</v>
      </c>
      <c r="R61" s="633">
        <v>591</v>
      </c>
      <c r="S61" s="634">
        <v>1500</v>
      </c>
      <c r="T61" s="634">
        <v>657.26963636363621</v>
      </c>
      <c r="U61" s="652">
        <v>1.0067681895093064</v>
      </c>
      <c r="W61" s="131" t="s">
        <v>70</v>
      </c>
    </row>
    <row r="62" spans="1:23" s="3" customFormat="1" ht="14" x14ac:dyDescent="0.3">
      <c r="A62" s="127" t="s">
        <v>68</v>
      </c>
      <c r="B62" s="131" t="s">
        <v>71</v>
      </c>
      <c r="D62" s="239">
        <v>590</v>
      </c>
      <c r="E62" s="404" t="s">
        <v>155</v>
      </c>
      <c r="F62" s="405" t="s">
        <v>155</v>
      </c>
      <c r="G62" s="406" t="s">
        <v>155</v>
      </c>
      <c r="H62" s="240" t="s">
        <v>155</v>
      </c>
      <c r="I62" s="414" t="str">
        <f>H62</f>
        <v>400;590</v>
      </c>
      <c r="J62" s="603" t="s">
        <v>204</v>
      </c>
      <c r="K62" s="599"/>
      <c r="L62" s="173"/>
      <c r="M62" s="586">
        <f>400/636</f>
        <v>0.62893081761006286</v>
      </c>
      <c r="N62" s="581">
        <f>400/704.3</f>
        <v>0.56793979838137165</v>
      </c>
      <c r="O62" s="585">
        <f>400/781.7</f>
        <v>0.51170525777152354</v>
      </c>
      <c r="Q62" s="632">
        <v>400</v>
      </c>
      <c r="R62" s="633">
        <v>668.8888888888888</v>
      </c>
      <c r="S62" s="634">
        <v>1226.1111111111111</v>
      </c>
      <c r="T62" s="634">
        <v>637.98010416666693</v>
      </c>
      <c r="U62" s="648">
        <v>0.59800664451827246</v>
      </c>
      <c r="W62" s="131" t="s">
        <v>71</v>
      </c>
    </row>
    <row r="63" spans="1:23" s="3" customFormat="1" ht="14" x14ac:dyDescent="0.3">
      <c r="A63" s="127" t="s">
        <v>68</v>
      </c>
      <c r="B63" s="131" t="s">
        <v>72</v>
      </c>
      <c r="D63" s="239">
        <v>550</v>
      </c>
      <c r="E63" s="404">
        <v>550</v>
      </c>
      <c r="F63" s="405">
        <v>550</v>
      </c>
      <c r="G63" s="406">
        <v>550</v>
      </c>
      <c r="H63" s="240">
        <v>550</v>
      </c>
      <c r="I63" s="414">
        <f t="shared" si="1"/>
        <v>550</v>
      </c>
      <c r="J63" s="603" t="s">
        <v>206</v>
      </c>
      <c r="K63" s="606"/>
      <c r="L63" s="173"/>
      <c r="M63" s="586">
        <f t="shared" si="2"/>
        <v>0.86477987421383651</v>
      </c>
      <c r="N63" s="581">
        <f t="shared" si="3"/>
        <v>0.78091722277438591</v>
      </c>
      <c r="O63" s="585">
        <f t="shared" ref="O63:O72" si="6">I63/781.7</f>
        <v>0.70359472943584489</v>
      </c>
      <c r="Q63" s="632">
        <v>550</v>
      </c>
      <c r="R63" s="633">
        <v>520</v>
      </c>
      <c r="S63" s="634">
        <v>1131</v>
      </c>
      <c r="T63" s="634">
        <v>682.01685714285736</v>
      </c>
      <c r="U63" s="655">
        <v>1.0576923076923077</v>
      </c>
      <c r="W63" s="131" t="s">
        <v>72</v>
      </c>
    </row>
    <row r="64" spans="1:23" s="3" customFormat="1" ht="14" x14ac:dyDescent="0.3">
      <c r="A64" s="127" t="s">
        <v>73</v>
      </c>
      <c r="B64" s="131" t="s">
        <v>74</v>
      </c>
      <c r="D64" s="239">
        <v>500</v>
      </c>
      <c r="E64" s="404">
        <v>500</v>
      </c>
      <c r="F64" s="405">
        <v>500</v>
      </c>
      <c r="G64" s="406">
        <v>500</v>
      </c>
      <c r="H64" s="240">
        <v>500</v>
      </c>
      <c r="I64" s="414">
        <f t="shared" si="1"/>
        <v>500</v>
      </c>
      <c r="J64" s="603" t="s">
        <v>204</v>
      </c>
      <c r="K64" s="599"/>
      <c r="L64" s="173"/>
      <c r="M64" s="586">
        <f t="shared" si="2"/>
        <v>0.78616352201257866</v>
      </c>
      <c r="N64" s="581">
        <f t="shared" si="3"/>
        <v>0.70992474797671457</v>
      </c>
      <c r="O64" s="585">
        <f t="shared" si="6"/>
        <v>0.63963157221440448</v>
      </c>
      <c r="Q64" s="632">
        <v>500</v>
      </c>
      <c r="R64" s="633">
        <v>474</v>
      </c>
      <c r="S64" s="634">
        <v>907.5</v>
      </c>
      <c r="T64" s="634">
        <v>807.16000000000008</v>
      </c>
      <c r="U64" s="655">
        <v>1.0548523206751055</v>
      </c>
      <c r="W64" s="131" t="s">
        <v>74</v>
      </c>
    </row>
    <row r="65" spans="1:23" s="3" customFormat="1" ht="14" x14ac:dyDescent="0.3">
      <c r="A65" s="128" t="s">
        <v>73</v>
      </c>
      <c r="B65" s="131" t="s">
        <v>75</v>
      </c>
      <c r="D65" s="239">
        <v>500</v>
      </c>
      <c r="E65" s="404">
        <v>500</v>
      </c>
      <c r="F65" s="405">
        <v>500</v>
      </c>
      <c r="G65" s="406">
        <v>500</v>
      </c>
      <c r="H65" s="240">
        <v>500</v>
      </c>
      <c r="I65" s="414">
        <f t="shared" si="1"/>
        <v>500</v>
      </c>
      <c r="J65" s="603" t="s">
        <v>204</v>
      </c>
      <c r="K65" s="599"/>
      <c r="L65" s="173"/>
      <c r="M65" s="586">
        <f t="shared" si="2"/>
        <v>0.78616352201257866</v>
      </c>
      <c r="N65" s="581">
        <f t="shared" si="3"/>
        <v>0.70992474797671457</v>
      </c>
      <c r="O65" s="585">
        <f t="shared" si="6"/>
        <v>0.63963157221440448</v>
      </c>
      <c r="Q65" s="632">
        <v>500</v>
      </c>
      <c r="R65" s="633">
        <v>534.83333333333337</v>
      </c>
      <c r="S65" s="634">
        <v>1083.125</v>
      </c>
      <c r="T65" s="634">
        <v>673.6136553672319</v>
      </c>
      <c r="U65" s="662">
        <v>0.93487067622312237</v>
      </c>
      <c r="W65" s="131" t="s">
        <v>75</v>
      </c>
    </row>
    <row r="66" spans="1:23" s="3" customFormat="1" ht="14" x14ac:dyDescent="0.3">
      <c r="A66" s="128" t="s">
        <v>73</v>
      </c>
      <c r="B66" s="131" t="s">
        <v>76</v>
      </c>
      <c r="D66" s="241">
        <v>400</v>
      </c>
      <c r="E66" s="407">
        <v>400</v>
      </c>
      <c r="F66" s="408">
        <v>400</v>
      </c>
      <c r="G66" s="409">
        <v>400</v>
      </c>
      <c r="H66" s="407">
        <v>400</v>
      </c>
      <c r="I66" s="816">
        <v>500</v>
      </c>
      <c r="J66" s="603" t="s">
        <v>204</v>
      </c>
      <c r="K66" s="599"/>
      <c r="L66" s="173"/>
      <c r="M66" s="586">
        <f t="shared" si="2"/>
        <v>0.62893081761006286</v>
      </c>
      <c r="N66" s="581">
        <f t="shared" si="3"/>
        <v>0.56793979838137165</v>
      </c>
      <c r="O66" s="585">
        <f t="shared" si="6"/>
        <v>0.63963157221440448</v>
      </c>
      <c r="Q66" s="632">
        <v>400</v>
      </c>
      <c r="R66" s="633">
        <v>547</v>
      </c>
      <c r="S66" s="634">
        <v>1118.25</v>
      </c>
      <c r="T66" s="634">
        <v>674.11026455026479</v>
      </c>
      <c r="U66" s="648">
        <v>0.73126142595978061</v>
      </c>
      <c r="W66" s="131" t="s">
        <v>76</v>
      </c>
    </row>
    <row r="67" spans="1:23" s="3" customFormat="1" ht="14" x14ac:dyDescent="0.3">
      <c r="A67" s="127" t="s">
        <v>77</v>
      </c>
      <c r="B67" s="131" t="s">
        <v>78</v>
      </c>
      <c r="D67" s="239">
        <v>600</v>
      </c>
      <c r="E67" s="404">
        <v>600</v>
      </c>
      <c r="F67" s="405">
        <v>600</v>
      </c>
      <c r="G67" s="406">
        <v>600</v>
      </c>
      <c r="H67" s="240">
        <v>600</v>
      </c>
      <c r="I67" s="414">
        <f t="shared" ref="I67:I86" si="7">H67</f>
        <v>600</v>
      </c>
      <c r="J67" s="603" t="s">
        <v>206</v>
      </c>
      <c r="K67" s="606"/>
      <c r="L67" s="173"/>
      <c r="M67" s="586">
        <f t="shared" si="2"/>
        <v>0.94339622641509435</v>
      </c>
      <c r="N67" s="581">
        <f t="shared" si="3"/>
        <v>0.85190969757205737</v>
      </c>
      <c r="O67" s="585">
        <f t="shared" si="6"/>
        <v>0.7675578866572853</v>
      </c>
      <c r="Q67" s="632">
        <v>600</v>
      </c>
      <c r="R67" s="633">
        <v>660</v>
      </c>
      <c r="S67" s="634">
        <v>1212.5</v>
      </c>
      <c r="T67" s="634">
        <v>659.92090909090916</v>
      </c>
      <c r="U67" s="662">
        <v>0.90909090909090906</v>
      </c>
      <c r="W67" s="131" t="s">
        <v>78</v>
      </c>
    </row>
    <row r="68" spans="1:23" s="3" customFormat="1" ht="14" x14ac:dyDescent="0.3">
      <c r="A68" s="127" t="s">
        <v>77</v>
      </c>
      <c r="B68" s="131" t="s">
        <v>79</v>
      </c>
      <c r="D68" s="239">
        <v>700</v>
      </c>
      <c r="E68" s="404">
        <v>700</v>
      </c>
      <c r="F68" s="405">
        <v>700</v>
      </c>
      <c r="G68" s="406">
        <v>700</v>
      </c>
      <c r="H68" s="240">
        <v>700</v>
      </c>
      <c r="I68" s="414">
        <f t="shared" si="7"/>
        <v>700</v>
      </c>
      <c r="J68" s="602" t="s">
        <v>203</v>
      </c>
      <c r="K68" s="609"/>
      <c r="L68" s="250"/>
      <c r="M68" s="586">
        <f t="shared" si="2"/>
        <v>1.10062893081761</v>
      </c>
      <c r="N68" s="581">
        <f t="shared" si="3"/>
        <v>0.99389464716740028</v>
      </c>
      <c r="O68" s="585">
        <f t="shared" si="6"/>
        <v>0.89548420110016624</v>
      </c>
      <c r="Q68" s="632">
        <v>700</v>
      </c>
      <c r="R68" s="633">
        <v>615</v>
      </c>
      <c r="S68" s="634">
        <v>1125</v>
      </c>
      <c r="T68" s="634">
        <v>704.96411764705897</v>
      </c>
      <c r="U68" s="657">
        <v>1.1382113821138211</v>
      </c>
      <c r="W68" s="131" t="s">
        <v>79</v>
      </c>
    </row>
    <row r="69" spans="1:23" s="3" customFormat="1" ht="14" x14ac:dyDescent="0.3">
      <c r="A69" s="127" t="s">
        <v>77</v>
      </c>
      <c r="B69" s="131" t="s">
        <v>80</v>
      </c>
      <c r="D69" s="239">
        <v>700</v>
      </c>
      <c r="E69" s="404">
        <v>700</v>
      </c>
      <c r="F69" s="405">
        <v>700</v>
      </c>
      <c r="G69" s="406">
        <v>700</v>
      </c>
      <c r="H69" s="240">
        <v>700</v>
      </c>
      <c r="I69" s="414">
        <f t="shared" si="7"/>
        <v>700</v>
      </c>
      <c r="J69" s="602" t="s">
        <v>203</v>
      </c>
      <c r="K69" s="609"/>
      <c r="L69" s="250"/>
      <c r="M69" s="586">
        <f t="shared" si="2"/>
        <v>1.10062893081761</v>
      </c>
      <c r="N69" s="581">
        <f t="shared" si="3"/>
        <v>0.99389464716740028</v>
      </c>
      <c r="O69" s="646">
        <f t="shared" si="6"/>
        <v>0.89548420110016624</v>
      </c>
      <c r="Q69" s="632">
        <v>700</v>
      </c>
      <c r="R69" s="633">
        <v>660</v>
      </c>
      <c r="S69" s="634">
        <v>1200</v>
      </c>
      <c r="T69" s="634">
        <v>633.95699999999999</v>
      </c>
      <c r="U69" s="655">
        <v>1.0606060606060606</v>
      </c>
      <c r="W69" s="131" t="s">
        <v>80</v>
      </c>
    </row>
    <row r="70" spans="1:23" s="3" customFormat="1" ht="14" x14ac:dyDescent="0.3">
      <c r="A70" s="127" t="s">
        <v>77</v>
      </c>
      <c r="B70" s="131" t="s">
        <v>81</v>
      </c>
      <c r="D70" s="239">
        <v>520</v>
      </c>
      <c r="E70" s="404">
        <v>520</v>
      </c>
      <c r="F70" s="405">
        <v>520</v>
      </c>
      <c r="G70" s="406">
        <v>520</v>
      </c>
      <c r="H70" s="240">
        <v>520</v>
      </c>
      <c r="I70" s="414">
        <f t="shared" si="7"/>
        <v>520</v>
      </c>
      <c r="J70" s="603" t="s">
        <v>206</v>
      </c>
      <c r="K70" s="606"/>
      <c r="L70" s="173"/>
      <c r="M70" s="586">
        <f t="shared" si="2"/>
        <v>0.8176100628930818</v>
      </c>
      <c r="N70" s="581">
        <f t="shared" si="3"/>
        <v>0.73832173789578315</v>
      </c>
      <c r="O70" s="585">
        <f t="shared" si="6"/>
        <v>0.66521683510298069</v>
      </c>
      <c r="Q70" s="632">
        <v>520</v>
      </c>
      <c r="R70" s="633">
        <v>682.07142857142856</v>
      </c>
      <c r="S70" s="634">
        <v>1328.5714285714287</v>
      </c>
      <c r="T70" s="634">
        <v>694.67124999999999</v>
      </c>
      <c r="U70" s="648">
        <v>0.76238349565399521</v>
      </c>
      <c r="W70" s="131" t="s">
        <v>81</v>
      </c>
    </row>
    <row r="71" spans="1:23" s="3" customFormat="1" ht="14" x14ac:dyDescent="0.3">
      <c r="A71" s="127" t="s">
        <v>77</v>
      </c>
      <c r="B71" s="131" t="s">
        <v>82</v>
      </c>
      <c r="D71" s="239">
        <v>650</v>
      </c>
      <c r="E71" s="404">
        <v>650</v>
      </c>
      <c r="F71" s="405">
        <v>650</v>
      </c>
      <c r="G71" s="406">
        <v>650</v>
      </c>
      <c r="H71" s="240">
        <v>650</v>
      </c>
      <c r="I71" s="414">
        <f t="shared" si="7"/>
        <v>650</v>
      </c>
      <c r="J71" s="602" t="s">
        <v>203</v>
      </c>
      <c r="K71" s="609"/>
      <c r="L71" s="250"/>
      <c r="M71" s="586">
        <f t="shared" si="2"/>
        <v>1.0220125786163523</v>
      </c>
      <c r="N71" s="581">
        <f t="shared" si="3"/>
        <v>0.92290217236972882</v>
      </c>
      <c r="O71" s="585">
        <f t="shared" si="6"/>
        <v>0.83152104387872583</v>
      </c>
      <c r="Q71" s="632">
        <v>650</v>
      </c>
      <c r="R71" s="633">
        <v>569</v>
      </c>
      <c r="S71" s="634">
        <v>1090</v>
      </c>
      <c r="T71" s="634">
        <v>649.63095238095252</v>
      </c>
      <c r="U71" s="657">
        <v>1.1423550087873462</v>
      </c>
      <c r="W71" s="131" t="s">
        <v>82</v>
      </c>
    </row>
    <row r="72" spans="1:23" s="3" customFormat="1" ht="14" x14ac:dyDescent="0.3">
      <c r="A72" s="127" t="s">
        <v>77</v>
      </c>
      <c r="B72" s="131" t="s">
        <v>83</v>
      </c>
      <c r="D72" s="241">
        <v>400</v>
      </c>
      <c r="E72" s="407">
        <v>400</v>
      </c>
      <c r="F72" s="408">
        <v>400</v>
      </c>
      <c r="G72" s="409">
        <v>400</v>
      </c>
      <c r="H72" s="407">
        <v>400</v>
      </c>
      <c r="I72" s="817">
        <v>400</v>
      </c>
      <c r="J72" s="603" t="s">
        <v>204</v>
      </c>
      <c r="K72" s="599"/>
      <c r="L72" s="173"/>
      <c r="M72" s="586">
        <f t="shared" si="2"/>
        <v>0.62893081761006286</v>
      </c>
      <c r="N72" s="581">
        <f t="shared" si="3"/>
        <v>0.56793979838137165</v>
      </c>
      <c r="O72" s="585">
        <f t="shared" si="6"/>
        <v>0.51170525777152354</v>
      </c>
      <c r="Q72" s="632">
        <v>400</v>
      </c>
      <c r="R72" s="633">
        <v>765</v>
      </c>
      <c r="S72" s="634">
        <v>1400</v>
      </c>
      <c r="T72" s="634">
        <v>625.25730158730153</v>
      </c>
      <c r="U72" s="648">
        <v>0.52287581699346408</v>
      </c>
      <c r="W72" s="131" t="s">
        <v>83</v>
      </c>
    </row>
    <row r="73" spans="1:23" s="3" customFormat="1" ht="14" x14ac:dyDescent="0.3">
      <c r="A73" s="127" t="s">
        <v>77</v>
      </c>
      <c r="B73" s="131" t="s">
        <v>84</v>
      </c>
      <c r="D73" s="239">
        <v>700</v>
      </c>
      <c r="E73" s="404">
        <v>700</v>
      </c>
      <c r="F73" s="405">
        <v>700</v>
      </c>
      <c r="G73" s="411">
        <v>700</v>
      </c>
      <c r="H73" s="404">
        <v>700</v>
      </c>
      <c r="I73" s="414">
        <f t="shared" si="7"/>
        <v>700</v>
      </c>
      <c r="J73" s="603" t="s">
        <v>203</v>
      </c>
      <c r="K73" s="610"/>
      <c r="L73" s="173"/>
      <c r="M73" s="586">
        <f t="shared" ref="M73:M87" si="8">E73/636</f>
        <v>1.10062893081761</v>
      </c>
      <c r="N73" s="581">
        <f t="shared" ref="N73:N87" si="9">H73/704.3</f>
        <v>0.99389464716740028</v>
      </c>
      <c r="O73" s="585">
        <f t="shared" ref="O73:O88" si="10">I73/781.7</f>
        <v>0.89548420110016624</v>
      </c>
      <c r="Q73" s="632">
        <v>700</v>
      </c>
      <c r="R73" s="633">
        <v>682.07142857142856</v>
      </c>
      <c r="S73" s="634">
        <v>1328.5714285714287</v>
      </c>
      <c r="T73" s="634">
        <v>653.49837837837833</v>
      </c>
      <c r="U73" s="652">
        <v>1.0262854749188397</v>
      </c>
      <c r="W73" s="131" t="s">
        <v>84</v>
      </c>
    </row>
    <row r="74" spans="1:23" s="3" customFormat="1" ht="14" x14ac:dyDescent="0.3">
      <c r="A74" s="127" t="s">
        <v>77</v>
      </c>
      <c r="B74" s="131" t="s">
        <v>85</v>
      </c>
      <c r="D74" s="239">
        <v>760</v>
      </c>
      <c r="E74" s="404">
        <v>760</v>
      </c>
      <c r="F74" s="405">
        <v>760</v>
      </c>
      <c r="G74" s="406">
        <v>760</v>
      </c>
      <c r="H74" s="243">
        <v>800</v>
      </c>
      <c r="I74" s="414">
        <f t="shared" si="7"/>
        <v>800</v>
      </c>
      <c r="J74" s="602" t="s">
        <v>205</v>
      </c>
      <c r="K74" s="607"/>
      <c r="L74" s="250"/>
      <c r="M74" s="586">
        <f t="shared" si="8"/>
        <v>1.1949685534591195</v>
      </c>
      <c r="N74" s="581">
        <f t="shared" si="9"/>
        <v>1.1358795967627433</v>
      </c>
      <c r="O74" s="585">
        <f t="shared" si="10"/>
        <v>1.0234105155430471</v>
      </c>
      <c r="Q74" s="632">
        <v>760</v>
      </c>
      <c r="R74" s="633">
        <v>728</v>
      </c>
      <c r="S74" s="634">
        <v>1547</v>
      </c>
      <c r="T74" s="634">
        <v>693.77710928319675</v>
      </c>
      <c r="U74" s="652">
        <v>1.043956043956044</v>
      </c>
      <c r="W74" s="131" t="s">
        <v>85</v>
      </c>
    </row>
    <row r="75" spans="1:23" s="3" customFormat="1" ht="14" x14ac:dyDescent="0.3">
      <c r="A75" s="127" t="s">
        <v>86</v>
      </c>
      <c r="B75" s="131" t="s">
        <v>87</v>
      </c>
      <c r="D75" s="239">
        <v>500</v>
      </c>
      <c r="E75" s="404">
        <v>500</v>
      </c>
      <c r="F75" s="405">
        <v>500</v>
      </c>
      <c r="G75" s="406">
        <v>500</v>
      </c>
      <c r="H75" s="240">
        <v>500</v>
      </c>
      <c r="I75" s="414">
        <f t="shared" si="7"/>
        <v>500</v>
      </c>
      <c r="J75" s="603" t="s">
        <v>204</v>
      </c>
      <c r="K75" s="599"/>
      <c r="L75" s="173"/>
      <c r="M75" s="586">
        <f t="shared" si="8"/>
        <v>0.78616352201257866</v>
      </c>
      <c r="N75" s="581">
        <f t="shared" si="9"/>
        <v>0.70992474797671457</v>
      </c>
      <c r="O75" s="585">
        <f t="shared" si="10"/>
        <v>0.63963157221440448</v>
      </c>
      <c r="Q75" s="632">
        <v>500</v>
      </c>
      <c r="R75" s="633">
        <v>685</v>
      </c>
      <c r="S75" s="634">
        <v>1275</v>
      </c>
      <c r="T75" s="634">
        <v>665.45775000000015</v>
      </c>
      <c r="U75" s="648">
        <v>0.72992700729927007</v>
      </c>
      <c r="W75" s="131" t="s">
        <v>87</v>
      </c>
    </row>
    <row r="76" spans="1:23" s="3" customFormat="1" ht="14" x14ac:dyDescent="0.3">
      <c r="A76" s="127" t="s">
        <v>86</v>
      </c>
      <c r="B76" s="131" t="s">
        <v>88</v>
      </c>
      <c r="D76" s="239">
        <v>500</v>
      </c>
      <c r="E76" s="404">
        <v>500</v>
      </c>
      <c r="F76" s="405">
        <v>500</v>
      </c>
      <c r="G76" s="406">
        <v>500</v>
      </c>
      <c r="H76" s="240">
        <v>500</v>
      </c>
      <c r="I76" s="414">
        <f t="shared" si="7"/>
        <v>500</v>
      </c>
      <c r="J76" s="603" t="s">
        <v>204</v>
      </c>
      <c r="K76" s="599"/>
      <c r="L76" s="173"/>
      <c r="M76" s="586">
        <f t="shared" si="8"/>
        <v>0.78616352201257866</v>
      </c>
      <c r="N76" s="581">
        <f t="shared" si="9"/>
        <v>0.70992474797671457</v>
      </c>
      <c r="O76" s="585">
        <f t="shared" si="10"/>
        <v>0.63963157221440448</v>
      </c>
      <c r="Q76" s="632">
        <v>500</v>
      </c>
      <c r="R76" s="633">
        <v>643.33333333333337</v>
      </c>
      <c r="S76" s="634">
        <v>1271.6666666666667</v>
      </c>
      <c r="T76" s="634">
        <v>658.10833333333323</v>
      </c>
      <c r="U76" s="648">
        <v>0.77720207253886009</v>
      </c>
      <c r="W76" s="131" t="s">
        <v>88</v>
      </c>
    </row>
    <row r="77" spans="1:23" s="3" customFormat="1" ht="14" x14ac:dyDescent="0.3">
      <c r="A77" s="127" t="s">
        <v>86</v>
      </c>
      <c r="B77" s="131" t="s">
        <v>89</v>
      </c>
      <c r="D77" s="239">
        <v>620</v>
      </c>
      <c r="E77" s="404">
        <v>620</v>
      </c>
      <c r="F77" s="405">
        <v>620</v>
      </c>
      <c r="G77" s="406">
        <v>620</v>
      </c>
      <c r="H77" s="240">
        <v>620</v>
      </c>
      <c r="I77" s="414">
        <f t="shared" si="7"/>
        <v>620</v>
      </c>
      <c r="J77" s="602" t="s">
        <v>203</v>
      </c>
      <c r="K77" s="609"/>
      <c r="L77" s="250"/>
      <c r="M77" s="586">
        <f t="shared" si="8"/>
        <v>0.97484276729559749</v>
      </c>
      <c r="N77" s="581">
        <f t="shared" si="9"/>
        <v>0.88030668749112595</v>
      </c>
      <c r="O77" s="585">
        <f t="shared" si="10"/>
        <v>0.79314314954586151</v>
      </c>
      <c r="Q77" s="632">
        <v>620</v>
      </c>
      <c r="R77" s="633">
        <v>591.625</v>
      </c>
      <c r="S77" s="634">
        <v>1238.625</v>
      </c>
      <c r="T77" s="634">
        <v>633.62298245614056</v>
      </c>
      <c r="U77" s="655">
        <v>1.0479611240228186</v>
      </c>
      <c r="W77" s="131" t="s">
        <v>89</v>
      </c>
    </row>
    <row r="78" spans="1:23" s="3" customFormat="1" ht="14" x14ac:dyDescent="0.3">
      <c r="A78" s="127" t="s">
        <v>90</v>
      </c>
      <c r="B78" s="131" t="s">
        <v>91</v>
      </c>
      <c r="D78" s="239">
        <v>650</v>
      </c>
      <c r="E78" s="404">
        <v>650</v>
      </c>
      <c r="F78" s="410">
        <v>520</v>
      </c>
      <c r="G78" s="406">
        <v>520</v>
      </c>
      <c r="H78" s="240">
        <v>520</v>
      </c>
      <c r="I78" s="414">
        <f t="shared" si="7"/>
        <v>520</v>
      </c>
      <c r="J78" s="603" t="s">
        <v>206</v>
      </c>
      <c r="K78" s="606"/>
      <c r="L78" s="173"/>
      <c r="M78" s="586">
        <f t="shared" si="8"/>
        <v>1.0220125786163523</v>
      </c>
      <c r="N78" s="581">
        <f t="shared" si="9"/>
        <v>0.73832173789578315</v>
      </c>
      <c r="O78" s="585">
        <f t="shared" si="10"/>
        <v>0.66521683510298069</v>
      </c>
      <c r="Q78" s="632">
        <v>520</v>
      </c>
      <c r="R78" s="633">
        <v>544.6</v>
      </c>
      <c r="S78" s="634">
        <v>1144.0666666666666</v>
      </c>
      <c r="T78" s="634">
        <v>662.55000000000018</v>
      </c>
      <c r="U78" s="659">
        <v>0.95482923246419382</v>
      </c>
      <c r="W78" s="131" t="s">
        <v>91</v>
      </c>
    </row>
    <row r="79" spans="1:23" s="3" customFormat="1" ht="14" x14ac:dyDescent="0.3">
      <c r="A79" s="127" t="s">
        <v>90</v>
      </c>
      <c r="B79" s="131" t="s">
        <v>92</v>
      </c>
      <c r="D79" s="239">
        <v>530</v>
      </c>
      <c r="E79" s="404">
        <v>530</v>
      </c>
      <c r="F79" s="405">
        <v>530</v>
      </c>
      <c r="G79" s="406">
        <v>530</v>
      </c>
      <c r="H79" s="240">
        <v>530</v>
      </c>
      <c r="I79" s="414">
        <f t="shared" si="7"/>
        <v>530</v>
      </c>
      <c r="J79" s="603" t="s">
        <v>206</v>
      </c>
      <c r="K79" s="606"/>
      <c r="L79" s="173"/>
      <c r="M79" s="586">
        <f t="shared" si="8"/>
        <v>0.83333333333333337</v>
      </c>
      <c r="N79" s="581">
        <f t="shared" si="9"/>
        <v>0.75252023285531744</v>
      </c>
      <c r="O79" s="585">
        <f t="shared" si="10"/>
        <v>0.67800946654726868</v>
      </c>
      <c r="Q79" s="632">
        <v>530</v>
      </c>
      <c r="R79" s="633">
        <v>625.5</v>
      </c>
      <c r="S79" s="634">
        <v>1134.5</v>
      </c>
      <c r="T79" s="634">
        <v>659.03279999999995</v>
      </c>
      <c r="U79" s="664">
        <v>0.84732214228617109</v>
      </c>
      <c r="W79" s="131" t="s">
        <v>92</v>
      </c>
    </row>
    <row r="80" spans="1:23" s="3" customFormat="1" ht="14" x14ac:dyDescent="0.3">
      <c r="A80" s="127" t="s">
        <v>90</v>
      </c>
      <c r="B80" s="131" t="s">
        <v>93</v>
      </c>
      <c r="D80" s="239">
        <v>500</v>
      </c>
      <c r="E80" s="404">
        <v>500</v>
      </c>
      <c r="F80" s="405">
        <v>500</v>
      </c>
      <c r="G80" s="406">
        <v>500</v>
      </c>
      <c r="H80" s="240">
        <v>500</v>
      </c>
      <c r="I80" s="414">
        <f t="shared" si="7"/>
        <v>500</v>
      </c>
      <c r="J80" s="603" t="s">
        <v>204</v>
      </c>
      <c r="K80" s="599"/>
      <c r="L80" s="173"/>
      <c r="M80" s="586">
        <f t="shared" si="8"/>
        <v>0.78616352201257866</v>
      </c>
      <c r="N80" s="581">
        <f t="shared" si="9"/>
        <v>0.70992474797671457</v>
      </c>
      <c r="O80" s="585">
        <f t="shared" si="10"/>
        <v>0.63963157221440448</v>
      </c>
      <c r="Q80" s="632">
        <v>500</v>
      </c>
      <c r="R80" s="633">
        <v>583.33333333333337</v>
      </c>
      <c r="S80" s="634">
        <v>1298.6666666666667</v>
      </c>
      <c r="T80" s="634">
        <v>640.7648484848487</v>
      </c>
      <c r="U80" s="664">
        <v>0.8571428571428571</v>
      </c>
      <c r="W80" s="131" t="s">
        <v>93</v>
      </c>
    </row>
    <row r="81" spans="1:29" s="3" customFormat="1" ht="14" x14ac:dyDescent="0.3">
      <c r="A81" s="127" t="s">
        <v>90</v>
      </c>
      <c r="B81" s="131" t="s">
        <v>94</v>
      </c>
      <c r="D81" s="239">
        <v>500</v>
      </c>
      <c r="E81" s="404">
        <v>500</v>
      </c>
      <c r="F81" s="405">
        <v>500</v>
      </c>
      <c r="G81" s="406">
        <v>500</v>
      </c>
      <c r="H81" s="240">
        <v>500</v>
      </c>
      <c r="I81" s="414">
        <f t="shared" si="7"/>
        <v>500</v>
      </c>
      <c r="J81" s="603" t="s">
        <v>204</v>
      </c>
      <c r="K81" s="599"/>
      <c r="L81" s="173"/>
      <c r="M81" s="586">
        <f t="shared" si="8"/>
        <v>0.78616352201257866</v>
      </c>
      <c r="N81" s="581">
        <f t="shared" si="9"/>
        <v>0.70992474797671457</v>
      </c>
      <c r="O81" s="585">
        <f t="shared" si="10"/>
        <v>0.63963157221440448</v>
      </c>
      <c r="Q81" s="632">
        <v>500</v>
      </c>
      <c r="R81" s="633">
        <v>574.92307692307691</v>
      </c>
      <c r="S81" s="634">
        <v>1213.9487179487178</v>
      </c>
      <c r="T81" s="634">
        <v>699.49144927536236</v>
      </c>
      <c r="U81" s="664">
        <v>0.86968156275086972</v>
      </c>
      <c r="W81" s="131" t="s">
        <v>94</v>
      </c>
    </row>
    <row r="82" spans="1:29" s="3" customFormat="1" ht="14" x14ac:dyDescent="0.3">
      <c r="A82" s="127" t="s">
        <v>95</v>
      </c>
      <c r="B82" s="131" t="s">
        <v>96</v>
      </c>
      <c r="D82" s="239">
        <v>500</v>
      </c>
      <c r="E82" s="404">
        <v>550</v>
      </c>
      <c r="F82" s="405">
        <v>550</v>
      </c>
      <c r="G82" s="406">
        <v>550</v>
      </c>
      <c r="H82" s="240">
        <v>550</v>
      </c>
      <c r="I82" s="414">
        <f t="shared" si="7"/>
        <v>550</v>
      </c>
      <c r="J82" s="603" t="s">
        <v>206</v>
      </c>
      <c r="K82" s="606"/>
      <c r="L82" s="173"/>
      <c r="M82" s="586">
        <f t="shared" si="8"/>
        <v>0.86477987421383651</v>
      </c>
      <c r="N82" s="581">
        <f t="shared" si="9"/>
        <v>0.78091722277438591</v>
      </c>
      <c r="O82" s="585">
        <f t="shared" si="10"/>
        <v>0.70359472943584489</v>
      </c>
      <c r="Q82" s="632">
        <v>550</v>
      </c>
      <c r="R82" s="633">
        <v>561.9</v>
      </c>
      <c r="S82" s="634">
        <v>1100</v>
      </c>
      <c r="T82" s="634">
        <v>648.64450000000022</v>
      </c>
      <c r="U82" s="659">
        <v>0.97882185442249514</v>
      </c>
      <c r="W82" s="131" t="s">
        <v>96</v>
      </c>
    </row>
    <row r="83" spans="1:29" s="3" customFormat="1" ht="14" x14ac:dyDescent="0.3">
      <c r="A83" s="127" t="s">
        <v>95</v>
      </c>
      <c r="B83" s="131" t="s">
        <v>97</v>
      </c>
      <c r="D83" s="239">
        <v>550</v>
      </c>
      <c r="E83" s="404">
        <v>550</v>
      </c>
      <c r="F83" s="405">
        <v>550</v>
      </c>
      <c r="G83" s="406">
        <v>550</v>
      </c>
      <c r="H83" s="240">
        <v>550</v>
      </c>
      <c r="I83" s="414">
        <f t="shared" si="7"/>
        <v>550</v>
      </c>
      <c r="J83" s="603" t="s">
        <v>206</v>
      </c>
      <c r="K83" s="606"/>
      <c r="L83" s="173"/>
      <c r="M83" s="586">
        <f t="shared" si="8"/>
        <v>0.86477987421383651</v>
      </c>
      <c r="N83" s="581">
        <f t="shared" si="9"/>
        <v>0.78091722277438591</v>
      </c>
      <c r="O83" s="585">
        <f t="shared" si="10"/>
        <v>0.70359472943584489</v>
      </c>
      <c r="Q83" s="632">
        <v>550</v>
      </c>
      <c r="R83" s="633">
        <v>570</v>
      </c>
      <c r="S83" s="634">
        <v>1206</v>
      </c>
      <c r="T83" s="634">
        <v>628.13562499999978</v>
      </c>
      <c r="U83" s="659">
        <v>0.96491228070175439</v>
      </c>
      <c r="W83" s="131" t="s">
        <v>97</v>
      </c>
    </row>
    <row r="84" spans="1:29" s="3" customFormat="1" ht="14" x14ac:dyDescent="0.3">
      <c r="A84" s="127" t="s">
        <v>95</v>
      </c>
      <c r="B84" s="131" t="s">
        <v>98</v>
      </c>
      <c r="D84" s="239">
        <v>580</v>
      </c>
      <c r="E84" s="404">
        <v>580</v>
      </c>
      <c r="F84" s="405">
        <v>580</v>
      </c>
      <c r="G84" s="406">
        <v>580</v>
      </c>
      <c r="H84" s="240">
        <v>580</v>
      </c>
      <c r="I84" s="414">
        <f t="shared" si="7"/>
        <v>580</v>
      </c>
      <c r="J84" s="603" t="s">
        <v>206</v>
      </c>
      <c r="K84" s="606"/>
      <c r="L84" s="173"/>
      <c r="M84" s="586">
        <f t="shared" si="8"/>
        <v>0.91194968553459121</v>
      </c>
      <c r="N84" s="581">
        <f t="shared" si="9"/>
        <v>0.82351270765298878</v>
      </c>
      <c r="O84" s="585">
        <f t="shared" si="10"/>
        <v>0.74197262376870921</v>
      </c>
      <c r="Q84" s="632">
        <v>580</v>
      </c>
      <c r="R84" s="633">
        <v>508.33333333333331</v>
      </c>
      <c r="S84" s="634">
        <v>1022.0833333333334</v>
      </c>
      <c r="T84" s="634">
        <v>603.89149999999995</v>
      </c>
      <c r="U84" s="657">
        <v>1.1409836065573771</v>
      </c>
      <c r="W84" s="131" t="s">
        <v>98</v>
      </c>
    </row>
    <row r="85" spans="1:29" s="3" customFormat="1" ht="14" x14ac:dyDescent="0.3">
      <c r="A85" s="127" t="s">
        <v>95</v>
      </c>
      <c r="B85" s="131" t="s">
        <v>99</v>
      </c>
      <c r="D85" s="239">
        <v>540</v>
      </c>
      <c r="E85" s="404">
        <v>540</v>
      </c>
      <c r="F85" s="405">
        <v>540</v>
      </c>
      <c r="G85" s="411">
        <v>540</v>
      </c>
      <c r="H85" s="404">
        <v>540</v>
      </c>
      <c r="I85" s="414">
        <f t="shared" si="7"/>
        <v>540</v>
      </c>
      <c r="J85" s="603" t="s">
        <v>206</v>
      </c>
      <c r="K85" s="606"/>
      <c r="L85" s="173"/>
      <c r="M85" s="586">
        <f t="shared" si="8"/>
        <v>0.84905660377358494</v>
      </c>
      <c r="N85" s="581">
        <f t="shared" si="9"/>
        <v>0.76671872781485173</v>
      </c>
      <c r="O85" s="585">
        <f t="shared" si="10"/>
        <v>0.69080209799155678</v>
      </c>
      <c r="Q85" s="632">
        <v>540</v>
      </c>
      <c r="R85" s="633">
        <v>530.33333333333337</v>
      </c>
      <c r="S85" s="634">
        <v>1178.3333333333333</v>
      </c>
      <c r="T85" s="634">
        <v>631.01319327731085</v>
      </c>
      <c r="U85" s="652">
        <v>1.0182275298554369</v>
      </c>
      <c r="W85" s="131" t="s">
        <v>99</v>
      </c>
    </row>
    <row r="86" spans="1:29" s="3" customFormat="1" thickBot="1" x14ac:dyDescent="0.35">
      <c r="A86" s="129" t="s">
        <v>95</v>
      </c>
      <c r="B86" s="132" t="s">
        <v>100</v>
      </c>
      <c r="D86" s="612">
        <v>600</v>
      </c>
      <c r="E86" s="613">
        <v>600</v>
      </c>
      <c r="F86" s="614">
        <v>600</v>
      </c>
      <c r="G86" s="615">
        <v>600</v>
      </c>
      <c r="H86" s="616">
        <v>600</v>
      </c>
      <c r="I86" s="415">
        <f t="shared" si="7"/>
        <v>600</v>
      </c>
      <c r="J86" s="604" t="s">
        <v>206</v>
      </c>
      <c r="K86" s="617"/>
      <c r="L86" s="173"/>
      <c r="M86" s="587">
        <f t="shared" si="8"/>
        <v>0.94339622641509435</v>
      </c>
      <c r="N86" s="588">
        <f t="shared" si="9"/>
        <v>0.85190969757205737</v>
      </c>
      <c r="O86" s="589">
        <f t="shared" si="10"/>
        <v>0.7675578866572853</v>
      </c>
      <c r="Q86" s="641">
        <v>600</v>
      </c>
      <c r="R86" s="642">
        <v>575</v>
      </c>
      <c r="S86" s="643">
        <v>1166.25</v>
      </c>
      <c r="T86" s="643">
        <v>677.43773049645415</v>
      </c>
      <c r="U86" s="653">
        <v>1.0434782608695652</v>
      </c>
      <c r="W86" s="132" t="s">
        <v>100</v>
      </c>
    </row>
    <row r="87" spans="1:29" s="3" customFormat="1" thickBot="1" x14ac:dyDescent="0.35">
      <c r="A87" s="38"/>
      <c r="B87" s="133" t="s">
        <v>156</v>
      </c>
      <c r="D87" s="244">
        <f t="shared" ref="D87:I87" si="11">AVERAGE(D8:D86)</f>
        <v>593.80519480519479</v>
      </c>
      <c r="E87" s="245">
        <f t="shared" si="11"/>
        <v>594.51315789473688</v>
      </c>
      <c r="F87" s="412">
        <f t="shared" si="11"/>
        <v>591.5526315789474</v>
      </c>
      <c r="G87" s="245">
        <f t="shared" si="11"/>
        <v>592.67105263157896</v>
      </c>
      <c r="H87" s="246">
        <f t="shared" si="11"/>
        <v>595.76315789473688</v>
      </c>
      <c r="I87" s="400">
        <f t="shared" si="11"/>
        <v>597.07894736842104</v>
      </c>
      <c r="J87" s="605" t="s">
        <v>206</v>
      </c>
      <c r="K87" s="618"/>
      <c r="L87" s="251"/>
      <c r="M87" s="443">
        <f t="shared" si="8"/>
        <v>0.93476911618669323</v>
      </c>
      <c r="N87" s="580">
        <f t="shared" si="9"/>
        <v>0.84589401944446529</v>
      </c>
      <c r="O87" s="461">
        <f t="shared" si="10"/>
        <v>0.76382109168276957</v>
      </c>
      <c r="Q87" s="644">
        <v>591.06410256410254</v>
      </c>
      <c r="R87" s="645">
        <v>609.0671947194719</v>
      </c>
      <c r="S87" s="645">
        <v>1232.9558580858088</v>
      </c>
      <c r="T87" s="645">
        <v>673.6136553672319</v>
      </c>
      <c r="U87" s="660">
        <v>0.97044153369044717</v>
      </c>
      <c r="W87" s="133" t="s">
        <v>3</v>
      </c>
    </row>
    <row r="88" spans="1:29" s="3" customFormat="1" ht="14" x14ac:dyDescent="0.3">
      <c r="A88" s="8"/>
      <c r="B88" s="9"/>
      <c r="E88" s="4" t="s">
        <v>388</v>
      </c>
      <c r="F88" s="4"/>
      <c r="G88" s="4"/>
      <c r="I88" s="251">
        <v>588</v>
      </c>
      <c r="O88" s="3">
        <f t="shared" si="10"/>
        <v>0.75220672892413964</v>
      </c>
      <c r="W88" s="9"/>
    </row>
    <row r="89" spans="1:29" s="3" customFormat="1" ht="14" x14ac:dyDescent="0.3">
      <c r="B89" s="4" t="s">
        <v>211</v>
      </c>
      <c r="G89" s="42"/>
      <c r="I89" s="28"/>
      <c r="M89" s="40" t="s">
        <v>174</v>
      </c>
      <c r="N89" s="40"/>
      <c r="O89" s="40"/>
      <c r="P89" s="40"/>
      <c r="Q89" s="40"/>
      <c r="R89" s="40"/>
      <c r="S89" s="40"/>
      <c r="T89" s="40"/>
      <c r="U89" s="40"/>
      <c r="V89" s="40"/>
      <c r="Y89" s="40"/>
    </row>
    <row r="90" spans="1:29" s="3" customFormat="1" ht="14" x14ac:dyDescent="0.3">
      <c r="M90" s="177"/>
    </row>
    <row r="91" spans="1:29" s="3" customFormat="1" ht="14" x14ac:dyDescent="0.3">
      <c r="B91" s="3" t="s">
        <v>207</v>
      </c>
      <c r="M91" s="53" t="s">
        <v>422</v>
      </c>
      <c r="Z91" s="53"/>
      <c r="AA91" s="53"/>
      <c r="AB91" s="53"/>
      <c r="AC91" s="53"/>
    </row>
    <row r="92" spans="1:29" s="3" customFormat="1" ht="14" x14ac:dyDescent="0.3">
      <c r="B92" s="3" t="s">
        <v>373</v>
      </c>
      <c r="M92" s="598"/>
      <c r="N92" s="3" t="s">
        <v>379</v>
      </c>
      <c r="R92" s="592"/>
      <c r="S92" s="3" t="s">
        <v>382</v>
      </c>
    </row>
    <row r="93" spans="1:29" s="3" customFormat="1" ht="14" x14ac:dyDescent="0.3">
      <c r="B93" s="3" t="s">
        <v>374</v>
      </c>
      <c r="M93" s="591"/>
      <c r="N93" s="3" t="s">
        <v>380</v>
      </c>
      <c r="R93" s="593"/>
      <c r="S93" s="3" t="s">
        <v>383</v>
      </c>
    </row>
    <row r="94" spans="1:29" s="3" customFormat="1" ht="14" x14ac:dyDescent="0.3">
      <c r="B94" s="3" t="s">
        <v>377</v>
      </c>
      <c r="M94" s="60"/>
      <c r="N94" s="3" t="s">
        <v>381</v>
      </c>
      <c r="R94" s="626"/>
      <c r="S94" s="57" t="s">
        <v>384</v>
      </c>
    </row>
    <row r="95" spans="1:29" s="3" customFormat="1" ht="14" x14ac:dyDescent="0.3">
      <c r="B95" s="3" t="s">
        <v>376</v>
      </c>
      <c r="R95" s="53"/>
      <c r="S95" s="53" t="s">
        <v>421</v>
      </c>
    </row>
    <row r="96" spans="1:29" s="3" customFormat="1" ht="14" x14ac:dyDescent="0.3">
      <c r="B96" s="3" t="s">
        <v>375</v>
      </c>
      <c r="S96" s="55"/>
      <c r="T96" s="3" t="s">
        <v>409</v>
      </c>
      <c r="U96" s="56"/>
      <c r="V96" s="57" t="s">
        <v>408</v>
      </c>
    </row>
    <row r="97" spans="2:22" s="3" customFormat="1" ht="14" x14ac:dyDescent="0.3">
      <c r="B97" s="3" t="s">
        <v>378</v>
      </c>
      <c r="M97" s="177" t="s">
        <v>371</v>
      </c>
      <c r="T97" s="53"/>
      <c r="U97" s="54"/>
      <c r="V97" s="3" t="s">
        <v>412</v>
      </c>
    </row>
    <row r="98" spans="2:22" s="3" customFormat="1" ht="14" x14ac:dyDescent="0.3">
      <c r="B98" s="3" t="s">
        <v>387</v>
      </c>
      <c r="M98" s="177" t="s">
        <v>372</v>
      </c>
      <c r="U98" s="43"/>
      <c r="V98" s="3" t="s">
        <v>413</v>
      </c>
    </row>
    <row r="99" spans="2:22" s="3" customFormat="1" ht="14" x14ac:dyDescent="0.3">
      <c r="B99" s="3" t="s">
        <v>498</v>
      </c>
      <c r="M99" s="177"/>
      <c r="U99" s="58"/>
      <c r="V99" s="3" t="s">
        <v>410</v>
      </c>
    </row>
    <row r="100" spans="2:22" s="3" customFormat="1" ht="14" x14ac:dyDescent="0.3">
      <c r="B100" s="3" t="s">
        <v>499</v>
      </c>
      <c r="M100" s="3" t="s">
        <v>370</v>
      </c>
      <c r="U100" s="59"/>
      <c r="V100" s="3" t="s">
        <v>411</v>
      </c>
    </row>
    <row r="101" spans="2:22" s="3" customFormat="1" ht="14" x14ac:dyDescent="0.3">
      <c r="B101" s="3" t="s">
        <v>394</v>
      </c>
      <c r="M101" s="3" t="s">
        <v>208</v>
      </c>
      <c r="U101" s="60"/>
      <c r="V101" s="3" t="s">
        <v>423</v>
      </c>
    </row>
    <row r="102" spans="2:22" s="3" customFormat="1" ht="14" x14ac:dyDescent="0.3">
      <c r="B102" s="3" t="s">
        <v>395</v>
      </c>
      <c r="M102" s="3" t="s">
        <v>368</v>
      </c>
      <c r="U102" s="61"/>
      <c r="V102" s="3" t="s">
        <v>424</v>
      </c>
    </row>
    <row r="103" spans="2:22" s="3" customFormat="1" ht="14" x14ac:dyDescent="0.3"/>
  </sheetData>
  <mergeCells count="3">
    <mergeCell ref="A5:A7"/>
    <mergeCell ref="B5:B7"/>
    <mergeCell ref="W5:W7"/>
  </mergeCells>
  <conditionalFormatting sqref="Q8:U35">
    <cfRule type="cellIs" dxfId="5" priority="67" operator="lessThan">
      <formula>0</formula>
    </cfRule>
    <cfRule type="expression" dxfId="4" priority="68">
      <formula>"&lt;0"</formula>
    </cfRule>
  </conditionalFormatting>
  <conditionalFormatting sqref="Q37:U87">
    <cfRule type="cellIs" dxfId="3" priority="1" operator="lessThan">
      <formula>0</formula>
    </cfRule>
    <cfRule type="expression" dxfId="2" priority="2">
      <formula>"&lt;0"</formula>
    </cfRule>
  </conditionalFormatting>
  <conditionalFormatting sqref="R36:U36">
    <cfRule type="cellIs" dxfId="1" priority="65" operator="lessThan">
      <formula>0</formula>
    </cfRule>
    <cfRule type="expression" dxfId="0" priority="66">
      <formula>"&lt;0"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c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m B G r K 0 A A A D 3 A A A A E g A A A E N v b m Z p Z y 9 Q Y W N r Y W d l L n h t b I S P s Q 6 C M B i E d x P f g X S n L S U u 5 K c M h k 0 S E x P j 2 k A D j d A a W i z v 5 u A j + Q p C F H V z v L s v u b v H 7 Q 7 Z 2 L X B V f Z W G Z 2 i C F M U W C d 0 J V q j Z Y q 0 Q R l f r 2 A v y r O o Z T D R 2 i a j r V L U O H d J C P H e Y x 9 j 0 9 e E U R q R U 7 E 7 l I 3 s B P r A 6 j 8 c K j 3 X l h J x O L 7 W c I a j O M I b y j A F s p h Q K P 0 F 2 D R 4 T n 9 M 2 A 6 t G 3 r J p Q v z H M g i g b w / 8 C c A A A D / / w M A U E s D B B Q A A g A I A A A A I Q C X 8 G e M t g A A A N 4 A A A A T A A A A R m 9 y b X V s Y X M v U 2 V j d G l v b j E u b X S N v Q q D M B R G 9 4 D v E N J F I U i l t R T E o U j H d q n Q Q R y i 3 l I x J p I f q I h v 5 u a L N W D X f s u F e 8 8 9 n 4 b a t F L g x z a j B C H 9 Z g o a n L M K e I R T z M F 4 C L t c O G 8 7 p t 3 q + q m B h 5 l V C o R 5 S t V V U n Z + M B V 3 1 k N K t l d S z k U m h X F I S T f D j t y s b c D Y B p t 1 W Z e B O J m j O Y S 5 Y k K / p O o z y W 0 v 8 n E A 7 f 8 a 6 T S R 6 L Q / H u L z i c a E Y u O u m I l x n g M P t e K f P P k C A A D / / w M A U E s B A i 0 A F A A G A A g A A A A h A C r d q k D S A A A A N w E A A B M A A A A A A A A A A A A A A A A A A A A A A F t D b 2 5 0 Z W 5 0 X 1 R 5 c G V z X S 5 4 b W x Q S w E C L Q A U A A I A C A A A A C E A E m B G r K 0 A A A D 3 A A A A E g A A A A A A A A A A A A A A A A A L A w A A Q 2 9 u Z m l n L 1 B h Y 2 t h Z 2 U u e G 1 s U E s B A i 0 A F A A C A A g A A A A h A J f w Z 4 y 2 A A A A 3 g A A A B M A A A A A A A A A A A A A A A A A 6 A M A A E Z v c m 1 1 b G F z L 1 N l Y 3 R p b 2 4 x L m 1 Q S w U G A A A A A A M A A w D C A A A A z w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E H A A A A A A A A z w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4 L T A 3 V D E x O j Q 2 O j M 3 L j Y x O T c 1 M z F a I i 8 + P E V u d H J 5 I F R 5 c G U 9 I k Z p b G x D b 2 x 1 b W 5 U e X B l c y I g V m F s d W U 9 I n N B Q T 0 9 I i 8 + P E V u d H J 5 I F R 5 c G U 9 I k Z p b G x D b 2 x 1 b W 5 O Y W 1 l c y I g V m F s d W U 9 I n N b J n F 1 b 3 Q 7 M T Y w N D M 1 O D Y s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M 0 M 2 Z m Z T k t M 2 Z h Y S 0 0 O T A 1 L T g w M D U t O W I 1 N D h h M z J k Y z B l I i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s x N j A 0 M z U 4 N i w 1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M S 9 B d X R v U m V t b 3 Z l Z E N v b H V t b n M x L n s x N j A 0 M z U 4 N i w 1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V l c m l t a W 5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l b D E v Q W x s a W t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w x L 0 1 1 d W R l d H V k J T I w d C V D M y V C Q y V D M y V C Q 3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D K 8 7 K W N k p c T 5 d P R v g S 6 8 5 4 A A A A A A I A A A A A A A N m A A D A A A A A E A A A A I f 6 z e 2 F X D Y v u / 1 L V l s w F c s A A A A A B I A A A K A A A A A Q A A A A u l J K A H 6 N c i B x b G q r 5 V n R k V A A A A A b N V a x p k K w 4 w 5 K I 6 d y n A n A 9 h c E b 0 r g v 3 9 T f 9 7 a q 4 U H v a 3 A P Q l 1 7 7 a 2 L J P B 5 O 4 / g A Z y y F T o T K f Q + D v h + K 3 9 R q l a o 0 l a 0 B i o i D J E 8 R r Z 2 0 P h z R Q A A A B 1 E R 0 D e E g K I M 7 B 8 D Q i X J R 2 f J A Y C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352CABD7EDA48982B37521C102FD6" ma:contentTypeVersion="18" ma:contentTypeDescription="Create a new document." ma:contentTypeScope="" ma:versionID="d077e5102267e65f56e86840e02e7bf1">
  <xsd:schema xmlns:xsd="http://www.w3.org/2001/XMLSchema" xmlns:xs="http://www.w3.org/2001/XMLSchema" xmlns:p="http://schemas.microsoft.com/office/2006/metadata/properties" xmlns:ns2="34d80c5a-35b4-4c07-838f-593ef02517c6" xmlns:ns3="54f3c67f-5437-4d93-81f3-8d77c1af0d1c" targetNamespace="http://schemas.microsoft.com/office/2006/metadata/properties" ma:root="true" ma:fieldsID="4254e7821c1f69d8d2816ab30b7ccbf0" ns2:_="" ns3:_="">
    <xsd:import namespace="34d80c5a-35b4-4c07-838f-593ef02517c6"/>
    <xsd:import namespace="54f3c67f-5437-4d93-81f3-8d77c1af0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80c5a-35b4-4c07-838f-593ef0251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765f91d-7ede-454c-a68b-1b422a717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c67f-5437-4d93-81f3-8d77c1af0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f9a0d2-0cdd-4da7-8777-519198c49d9b}" ma:internalName="TaxCatchAll" ma:showField="CatchAllData" ma:web="54f3c67f-5437-4d93-81f3-8d77c1af0d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80c5a-35b4-4c07-838f-593ef02517c6">
      <Terms xmlns="http://schemas.microsoft.com/office/infopath/2007/PartnerControls"/>
    </lcf76f155ced4ddcb4097134ff3c332f>
    <TaxCatchAll xmlns="54f3c67f-5437-4d93-81f3-8d77c1af0d1c" xsi:nil="true"/>
  </documentManagement>
</p:properties>
</file>

<file path=customXml/itemProps1.xml><?xml version="1.0" encoding="utf-8"?>
<ds:datastoreItem xmlns:ds="http://schemas.openxmlformats.org/officeDocument/2006/customXml" ds:itemID="{621BB2F3-2204-4F4C-99F4-C9BD6285A57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A29C636-2A9A-43E6-9A5A-121BF8B1B61E}"/>
</file>

<file path=customXml/itemProps3.xml><?xml version="1.0" encoding="utf-8"?>
<ds:datastoreItem xmlns:ds="http://schemas.openxmlformats.org/officeDocument/2006/customXml" ds:itemID="{47E4A010-E103-49D5-81E3-EBAF722F024E}"/>
</file>

<file path=customXml/itemProps4.xml><?xml version="1.0" encoding="utf-8"?>
<ds:datastoreItem xmlns:ds="http://schemas.openxmlformats.org/officeDocument/2006/customXml" ds:itemID="{BB7FEFF1-B75C-41E1-82C3-77BD94F32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HOR, PIH ÜLH analüüs põhita </vt:lpstr>
      <vt:lpstr>HOR PIH ÜLH kulud - võrdlus</vt:lpstr>
      <vt:lpstr>PIH rahastus PTM prognoos</vt:lpstr>
      <vt:lpstr>Demograafiline struktuur </vt:lpstr>
      <vt:lpstr>ÜLHT HOK viibijate arv</vt:lpstr>
      <vt:lpstr>ÜLHHOOLK piirmäärm kekm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Hallemaa</cp:lastModifiedBy>
  <cp:lastPrinted>2024-09-02T22:52:37Z</cp:lastPrinted>
  <dcterms:created xsi:type="dcterms:W3CDTF">2024-03-22T16:20:59Z</dcterms:created>
  <dcterms:modified xsi:type="dcterms:W3CDTF">2024-09-02T22:59:44Z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0x010100902352CABD7EDA48982B37521C102FD6</vt:lpwstr>
  </property>
</Properties>
</file>